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irexionfunds.com\DFS\Users\wandss\Desktop\"/>
    </mc:Choice>
  </mc:AlternateContent>
  <bookViews>
    <workbookView xWindow="0" yWindow="0" windowWidth="23040" windowHeight="9192" tabRatio="601"/>
  </bookViews>
  <sheets>
    <sheet name="Primary Layout" sheetId="1" r:id="rId1"/>
  </sheets>
  <definedNames>
    <definedName name="_xlnm._FilterDatabase" localSheetId="0" hidden="1">'Primary Layout'!$A$16:$BI$198</definedName>
    <definedName name="_xlnm.Print_Area" localSheetId="0">'Primary Layout'!#REF!</definedName>
    <definedName name="_xlnm.Print_Titles" localSheetId="0">'Primary Layout'!$3:$15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8" i="1" l="1"/>
  <c r="R38" i="1" s="1"/>
  <c r="S177" i="1"/>
  <c r="R37" i="1"/>
  <c r="R36" i="1"/>
  <c r="N39" i="1"/>
  <c r="R39" i="1" s="1"/>
  <c r="R34" i="1"/>
  <c r="R42" i="1"/>
  <c r="R33" i="1"/>
  <c r="R32" i="1"/>
  <c r="R31" i="1"/>
  <c r="R30" i="1"/>
  <c r="R44" i="1"/>
  <c r="N29" i="1"/>
  <c r="R29" i="1" s="1"/>
  <c r="N28" i="1"/>
  <c r="R28" i="1" s="1"/>
  <c r="R45" i="1"/>
  <c r="N27" i="1"/>
  <c r="R25" i="1"/>
  <c r="R26" i="1"/>
  <c r="R46" i="1"/>
  <c r="R24" i="1"/>
  <c r="N23" i="1"/>
  <c r="N22" i="1"/>
  <c r="N21" i="1"/>
  <c r="N20" i="1"/>
  <c r="R18" i="1"/>
  <c r="R19" i="1"/>
  <c r="R17" i="1"/>
  <c r="R41" i="1"/>
  <c r="R40" i="1"/>
  <c r="R43" i="1"/>
  <c r="S48" i="1"/>
  <c r="R49" i="1"/>
  <c r="R59" i="1"/>
  <c r="R144" i="1"/>
  <c r="R145" i="1"/>
  <c r="R143" i="1"/>
  <c r="R139" i="1"/>
  <c r="R134" i="1"/>
  <c r="R135" i="1"/>
  <c r="R133" i="1"/>
  <c r="R88" i="1"/>
  <c r="R89" i="1"/>
  <c r="R90" i="1"/>
  <c r="R87" i="1"/>
  <c r="R130" i="1"/>
  <c r="R131" i="1"/>
  <c r="R129" i="1"/>
  <c r="R110" i="1"/>
  <c r="R111" i="1"/>
  <c r="R112" i="1"/>
  <c r="R113" i="1"/>
  <c r="R62" i="1"/>
  <c r="R63" i="1"/>
  <c r="R189" i="1"/>
  <c r="R188" i="1"/>
  <c r="R191" i="1"/>
  <c r="R190" i="1"/>
  <c r="R122" i="1"/>
  <c r="S121" i="1"/>
  <c r="R120" i="1"/>
  <c r="R187" i="1"/>
  <c r="S186" i="1"/>
  <c r="R184" i="1"/>
  <c r="R185" i="1"/>
  <c r="R183" i="1"/>
  <c r="R70" i="1"/>
  <c r="R69" i="1"/>
  <c r="R138" i="1"/>
  <c r="N58" i="1"/>
  <c r="R58" i="1" s="1"/>
  <c r="N57" i="1"/>
  <c r="R57" i="1" s="1"/>
  <c r="N56" i="1"/>
  <c r="R56" i="1" s="1"/>
  <c r="N118" i="1"/>
  <c r="R124" i="1"/>
  <c r="R123" i="1"/>
  <c r="N132" i="1"/>
  <c r="R73" i="1"/>
  <c r="R74" i="1"/>
  <c r="R72" i="1"/>
  <c r="N127" i="1"/>
  <c r="N117" i="1"/>
  <c r="R117" i="1" s="1"/>
  <c r="R77" i="1"/>
  <c r="R78" i="1"/>
  <c r="R79" i="1"/>
  <c r="R76" i="1"/>
  <c r="N86" i="1"/>
  <c r="N114" i="1"/>
  <c r="R114" i="1" s="1"/>
  <c r="R85" i="1"/>
  <c r="N61" i="1"/>
  <c r="R61" i="1" s="1"/>
  <c r="R84" i="1"/>
  <c r="N60" i="1"/>
  <c r="R60" i="1" s="1"/>
  <c r="N47" i="1"/>
  <c r="N68" i="1"/>
  <c r="N137" i="1"/>
  <c r="R137" i="1" s="1"/>
  <c r="R91" i="1"/>
  <c r="N136" i="1"/>
  <c r="N75" i="1"/>
  <c r="N71" i="1"/>
  <c r="N119" i="1"/>
  <c r="N64" i="1"/>
  <c r="R150" i="1"/>
  <c r="R151" i="1"/>
  <c r="N66" i="1"/>
  <c r="R66" i="1" s="1"/>
  <c r="N65" i="1"/>
  <c r="R65" i="1" s="1"/>
  <c r="N103" i="1"/>
  <c r="N97" i="1"/>
  <c r="N98" i="1"/>
  <c r="N50" i="1"/>
  <c r="N53" i="1"/>
  <c r="N99" i="1"/>
  <c r="N101" i="1"/>
  <c r="R101" i="1" s="1"/>
  <c r="N105" i="1"/>
  <c r="N108" i="1"/>
  <c r="R108" i="1" s="1"/>
  <c r="N107" i="1"/>
  <c r="N106" i="1"/>
  <c r="R106" i="1" s="1"/>
  <c r="N140" i="1"/>
  <c r="N80" i="1"/>
  <c r="N82" i="1"/>
  <c r="N81" i="1"/>
  <c r="R81" i="1" s="1"/>
  <c r="N67" i="1"/>
  <c r="N125" i="1"/>
  <c r="N126" i="1"/>
  <c r="R126" i="1" s="1"/>
  <c r="R154" i="1"/>
  <c r="S153" i="1"/>
  <c r="R152" i="1"/>
  <c r="R160" i="1"/>
  <c r="R161" i="1"/>
  <c r="R159" i="1"/>
  <c r="S197" i="1"/>
  <c r="R198" i="1"/>
  <c r="R196" i="1"/>
  <c r="R104" i="1"/>
  <c r="R103" i="1"/>
  <c r="R96" i="1"/>
  <c r="S95" i="1"/>
  <c r="R93" i="1"/>
  <c r="R94" i="1"/>
  <c r="R92" i="1"/>
  <c r="R147" i="1"/>
  <c r="R148" i="1"/>
  <c r="R149" i="1"/>
  <c r="R146" i="1"/>
  <c r="R98" i="1"/>
  <c r="S52" i="1"/>
  <c r="R51" i="1"/>
  <c r="S55" i="1"/>
  <c r="R54" i="1"/>
  <c r="R100" i="1"/>
  <c r="R99" i="1"/>
  <c r="R102" i="1"/>
  <c r="R107" i="1"/>
  <c r="R109" i="1"/>
  <c r="M139" i="1"/>
  <c r="S142" i="1"/>
  <c r="R141" i="1"/>
  <c r="R82" i="1"/>
  <c r="R83" i="1"/>
  <c r="S115" i="1"/>
  <c r="R116" i="1"/>
  <c r="R156" i="1"/>
  <c r="R157" i="1"/>
  <c r="R158" i="1"/>
  <c r="R155" i="1"/>
  <c r="R193" i="1"/>
  <c r="R194" i="1"/>
  <c r="R195" i="1"/>
  <c r="R192" i="1"/>
  <c r="S181" i="1"/>
  <c r="R182" i="1"/>
  <c r="R179" i="1"/>
  <c r="R180" i="1"/>
  <c r="R178" i="1"/>
  <c r="AZ17" i="1"/>
  <c r="AW17" i="1" s="1"/>
  <c r="BD17" i="1"/>
  <c r="BH17" i="1"/>
  <c r="AZ18" i="1"/>
  <c r="AW18" i="1" s="1"/>
  <c r="BD18" i="1"/>
  <c r="BH18" i="1"/>
  <c r="AZ19" i="1"/>
  <c r="AW19" i="1" s="1"/>
  <c r="BD19" i="1"/>
  <c r="BH19" i="1"/>
  <c r="AZ20" i="1"/>
  <c r="AW20" i="1" s="1"/>
  <c r="BD20" i="1"/>
  <c r="BH20" i="1"/>
  <c r="AZ21" i="1"/>
  <c r="AW21" i="1" s="1"/>
  <c r="BD21" i="1"/>
  <c r="BH21" i="1"/>
  <c r="AZ22" i="1"/>
  <c r="AW22" i="1" s="1"/>
  <c r="BD22" i="1"/>
  <c r="BH22" i="1"/>
  <c r="AZ23" i="1"/>
  <c r="AW23" i="1" s="1"/>
  <c r="BD23" i="1"/>
  <c r="BH23" i="1"/>
  <c r="AZ24" i="1"/>
  <c r="AW24" i="1" s="1"/>
  <c r="BD24" i="1"/>
  <c r="BH24" i="1"/>
  <c r="AZ25" i="1"/>
  <c r="AW25" i="1" s="1"/>
  <c r="BD25" i="1"/>
  <c r="BH25" i="1"/>
  <c r="AZ26" i="1"/>
  <c r="AW26" i="1" s="1"/>
  <c r="BD26" i="1"/>
  <c r="BH26" i="1"/>
  <c r="AZ27" i="1"/>
  <c r="AW27" i="1" s="1"/>
  <c r="BD27" i="1"/>
  <c r="BH27" i="1"/>
  <c r="AZ28" i="1"/>
  <c r="AW28" i="1" s="1"/>
  <c r="BD28" i="1"/>
  <c r="BH28" i="1"/>
  <c r="AZ29" i="1"/>
  <c r="AW29" i="1" s="1"/>
  <c r="BD29" i="1"/>
  <c r="BH29" i="1"/>
  <c r="AZ30" i="1"/>
  <c r="AW30" i="1" s="1"/>
  <c r="BD30" i="1"/>
  <c r="BH30" i="1"/>
  <c r="AZ31" i="1"/>
  <c r="AW31" i="1" s="1"/>
  <c r="BD31" i="1"/>
  <c r="BH31" i="1"/>
  <c r="AZ32" i="1"/>
  <c r="AW32" i="1" s="1"/>
  <c r="BD32" i="1"/>
  <c r="BH32" i="1"/>
  <c r="AZ33" i="1"/>
  <c r="AW33" i="1" s="1"/>
  <c r="BD33" i="1"/>
  <c r="BH33" i="1"/>
  <c r="AZ34" i="1"/>
  <c r="AW34" i="1" s="1"/>
  <c r="BD34" i="1"/>
  <c r="BH34" i="1"/>
  <c r="AZ35" i="1"/>
  <c r="AW35" i="1" s="1"/>
  <c r="BD35" i="1"/>
  <c r="BH35" i="1"/>
  <c r="AZ36" i="1"/>
  <c r="AW36" i="1" s="1"/>
  <c r="BD36" i="1"/>
  <c r="BH36" i="1"/>
  <c r="AZ37" i="1"/>
  <c r="AW37" i="1" s="1"/>
  <c r="BD37" i="1"/>
  <c r="BH37" i="1"/>
  <c r="AZ38" i="1"/>
  <c r="AW38" i="1" s="1"/>
  <c r="BD38" i="1"/>
  <c r="BH38" i="1"/>
  <c r="AZ39" i="1"/>
  <c r="AW39" i="1" s="1"/>
  <c r="BD39" i="1"/>
  <c r="BH39" i="1"/>
  <c r="AZ40" i="1"/>
  <c r="AW40" i="1" s="1"/>
  <c r="BD40" i="1"/>
  <c r="BH40" i="1"/>
  <c r="AZ41" i="1"/>
  <c r="AW41" i="1" s="1"/>
  <c r="BD41" i="1"/>
  <c r="BH41" i="1"/>
  <c r="AZ42" i="1"/>
  <c r="AW42" i="1" s="1"/>
  <c r="BD42" i="1"/>
  <c r="BH42" i="1"/>
  <c r="AZ43" i="1"/>
  <c r="AW43" i="1" s="1"/>
  <c r="BD43" i="1"/>
  <c r="BH43" i="1"/>
  <c r="AZ44" i="1"/>
  <c r="AW44" i="1" s="1"/>
  <c r="BD44" i="1"/>
  <c r="BH44" i="1"/>
  <c r="AZ45" i="1"/>
  <c r="AW45" i="1" s="1"/>
  <c r="BD45" i="1"/>
  <c r="BH45" i="1"/>
  <c r="AZ46" i="1"/>
  <c r="AW46" i="1" s="1"/>
  <c r="BD46" i="1"/>
  <c r="BH46" i="1"/>
  <c r="AZ47" i="1"/>
  <c r="AW47" i="1" s="1"/>
  <c r="BD47" i="1"/>
  <c r="BH47" i="1"/>
  <c r="AZ48" i="1"/>
  <c r="AW48" i="1" s="1"/>
  <c r="BD48" i="1"/>
  <c r="BH48" i="1"/>
  <c r="AZ49" i="1"/>
  <c r="AW49" i="1" s="1"/>
  <c r="BD49" i="1"/>
  <c r="BH49" i="1"/>
  <c r="AZ50" i="1"/>
  <c r="AW50" i="1" s="1"/>
  <c r="BD50" i="1"/>
  <c r="BH50" i="1"/>
  <c r="AZ51" i="1"/>
  <c r="AW51" i="1" s="1"/>
  <c r="BD51" i="1"/>
  <c r="BH51" i="1"/>
  <c r="AZ52" i="1"/>
  <c r="AW52" i="1" s="1"/>
  <c r="BD52" i="1"/>
  <c r="BH52" i="1"/>
  <c r="AZ53" i="1"/>
  <c r="AW53" i="1" s="1"/>
  <c r="BD53" i="1"/>
  <c r="BH53" i="1"/>
  <c r="AZ54" i="1"/>
  <c r="AW54" i="1" s="1"/>
  <c r="BD54" i="1"/>
  <c r="BH54" i="1"/>
  <c r="AZ55" i="1"/>
  <c r="AW55" i="1" s="1"/>
  <c r="BD55" i="1"/>
  <c r="BH55" i="1"/>
  <c r="AZ56" i="1"/>
  <c r="AW56" i="1" s="1"/>
  <c r="BD56" i="1"/>
  <c r="BH56" i="1"/>
  <c r="AZ57" i="1"/>
  <c r="AW57" i="1" s="1"/>
  <c r="BD57" i="1"/>
  <c r="BH57" i="1"/>
  <c r="AZ58" i="1"/>
  <c r="AW58" i="1" s="1"/>
  <c r="BD58" i="1"/>
  <c r="BH58" i="1"/>
  <c r="AZ59" i="1"/>
  <c r="AW59" i="1" s="1"/>
  <c r="BD59" i="1"/>
  <c r="BH59" i="1"/>
  <c r="AZ60" i="1"/>
  <c r="AW60" i="1" s="1"/>
  <c r="BD60" i="1"/>
  <c r="BH60" i="1"/>
  <c r="AZ61" i="1"/>
  <c r="AW61" i="1" s="1"/>
  <c r="BD61" i="1"/>
  <c r="BH61" i="1"/>
  <c r="AZ62" i="1"/>
  <c r="AW62" i="1" s="1"/>
  <c r="BD62" i="1"/>
  <c r="BH62" i="1"/>
  <c r="AZ63" i="1"/>
  <c r="AW63" i="1" s="1"/>
  <c r="BD63" i="1"/>
  <c r="BH63" i="1"/>
  <c r="AZ64" i="1"/>
  <c r="AW64" i="1" s="1"/>
  <c r="BD64" i="1"/>
  <c r="BH64" i="1"/>
  <c r="AZ65" i="1"/>
  <c r="AW65" i="1" s="1"/>
  <c r="BD65" i="1"/>
  <c r="BH65" i="1"/>
  <c r="AZ66" i="1"/>
  <c r="AW66" i="1" s="1"/>
  <c r="BD66" i="1"/>
  <c r="BH66" i="1"/>
  <c r="AZ67" i="1"/>
  <c r="AW67" i="1" s="1"/>
  <c r="BD67" i="1"/>
  <c r="BH67" i="1"/>
  <c r="AZ68" i="1"/>
  <c r="AW68" i="1" s="1"/>
  <c r="BD68" i="1"/>
  <c r="BH68" i="1"/>
  <c r="AZ69" i="1"/>
  <c r="AW69" i="1" s="1"/>
  <c r="BD69" i="1"/>
  <c r="BH69" i="1"/>
  <c r="AZ70" i="1"/>
  <c r="AW70" i="1" s="1"/>
  <c r="BD70" i="1"/>
  <c r="BH70" i="1"/>
  <c r="AZ71" i="1"/>
  <c r="AW71" i="1" s="1"/>
  <c r="BD71" i="1"/>
  <c r="BH71" i="1"/>
  <c r="AZ72" i="1"/>
  <c r="AW72" i="1" s="1"/>
  <c r="BD72" i="1"/>
  <c r="BH72" i="1"/>
  <c r="AZ73" i="1"/>
  <c r="AW73" i="1" s="1"/>
  <c r="BD73" i="1"/>
  <c r="BH73" i="1"/>
  <c r="AZ74" i="1"/>
  <c r="AW74" i="1" s="1"/>
  <c r="BD74" i="1"/>
  <c r="BH74" i="1"/>
  <c r="AZ75" i="1"/>
  <c r="AW75" i="1" s="1"/>
  <c r="BD75" i="1"/>
  <c r="BH75" i="1"/>
  <c r="AZ76" i="1"/>
  <c r="AW76" i="1" s="1"/>
  <c r="BD76" i="1"/>
  <c r="BH76" i="1"/>
  <c r="AZ77" i="1"/>
  <c r="AW77" i="1" s="1"/>
  <c r="BD77" i="1"/>
  <c r="BH77" i="1"/>
  <c r="AZ78" i="1"/>
  <c r="AW78" i="1" s="1"/>
  <c r="BD78" i="1"/>
  <c r="BH78" i="1"/>
  <c r="AZ79" i="1"/>
  <c r="AW79" i="1" s="1"/>
  <c r="BD79" i="1"/>
  <c r="BH79" i="1"/>
  <c r="AZ80" i="1"/>
  <c r="AW80" i="1" s="1"/>
  <c r="BD80" i="1"/>
  <c r="BH80" i="1"/>
  <c r="AZ81" i="1"/>
  <c r="AW81" i="1" s="1"/>
  <c r="BD81" i="1"/>
  <c r="BH81" i="1"/>
  <c r="AZ82" i="1"/>
  <c r="AW82" i="1" s="1"/>
  <c r="BD82" i="1"/>
  <c r="BH82" i="1"/>
  <c r="AZ83" i="1"/>
  <c r="AW83" i="1" s="1"/>
  <c r="BD83" i="1"/>
  <c r="BH83" i="1"/>
  <c r="AZ84" i="1"/>
  <c r="AW84" i="1" s="1"/>
  <c r="BD84" i="1"/>
  <c r="BH84" i="1"/>
  <c r="AZ85" i="1"/>
  <c r="AW85" i="1" s="1"/>
  <c r="BD85" i="1"/>
  <c r="BH85" i="1"/>
  <c r="AZ86" i="1"/>
  <c r="AW86" i="1" s="1"/>
  <c r="BD86" i="1"/>
  <c r="BH86" i="1"/>
  <c r="AZ87" i="1"/>
  <c r="AW87" i="1" s="1"/>
  <c r="BD87" i="1"/>
  <c r="BH87" i="1"/>
  <c r="AZ88" i="1"/>
  <c r="AW88" i="1" s="1"/>
  <c r="BD88" i="1"/>
  <c r="BH88" i="1"/>
  <c r="AZ89" i="1"/>
  <c r="AW89" i="1" s="1"/>
  <c r="BD89" i="1"/>
  <c r="BH89" i="1"/>
  <c r="AZ90" i="1"/>
  <c r="AW90" i="1" s="1"/>
  <c r="BD90" i="1"/>
  <c r="BH90" i="1"/>
  <c r="AZ91" i="1"/>
  <c r="AW91" i="1" s="1"/>
  <c r="BD91" i="1"/>
  <c r="BH91" i="1"/>
  <c r="AZ92" i="1"/>
  <c r="AW92" i="1" s="1"/>
  <c r="BD92" i="1"/>
  <c r="BH92" i="1"/>
  <c r="AZ93" i="1"/>
  <c r="AW93" i="1" s="1"/>
  <c r="BD93" i="1"/>
  <c r="BH93" i="1"/>
  <c r="AZ94" i="1"/>
  <c r="AW94" i="1" s="1"/>
  <c r="BD94" i="1"/>
  <c r="BH94" i="1"/>
  <c r="AZ95" i="1"/>
  <c r="AW95" i="1" s="1"/>
  <c r="BD95" i="1"/>
  <c r="BH95" i="1"/>
  <c r="AZ96" i="1"/>
  <c r="AW96" i="1" s="1"/>
  <c r="BD96" i="1"/>
  <c r="BH96" i="1"/>
  <c r="AZ97" i="1"/>
  <c r="AW97" i="1" s="1"/>
  <c r="BD97" i="1"/>
  <c r="BH97" i="1"/>
  <c r="AZ98" i="1"/>
  <c r="AW98" i="1" s="1"/>
  <c r="BD98" i="1"/>
  <c r="BH98" i="1"/>
  <c r="AZ99" i="1"/>
  <c r="AW99" i="1" s="1"/>
  <c r="BD99" i="1"/>
  <c r="BH99" i="1"/>
  <c r="AZ100" i="1"/>
  <c r="AW100" i="1" s="1"/>
  <c r="BD100" i="1"/>
  <c r="BH100" i="1"/>
  <c r="AZ101" i="1"/>
  <c r="AW101" i="1" s="1"/>
  <c r="BD101" i="1"/>
  <c r="BH101" i="1"/>
  <c r="AZ102" i="1"/>
  <c r="AW102" i="1" s="1"/>
  <c r="BD102" i="1"/>
  <c r="BH102" i="1"/>
  <c r="AZ103" i="1"/>
  <c r="AW103" i="1" s="1"/>
  <c r="BD103" i="1"/>
  <c r="BH103" i="1"/>
  <c r="AZ104" i="1"/>
  <c r="AW104" i="1" s="1"/>
  <c r="BD104" i="1"/>
  <c r="BH104" i="1"/>
  <c r="AZ105" i="1"/>
  <c r="AW105" i="1" s="1"/>
  <c r="BD105" i="1"/>
  <c r="BH105" i="1"/>
  <c r="AZ106" i="1"/>
  <c r="AW106" i="1" s="1"/>
  <c r="BD106" i="1"/>
  <c r="BH106" i="1"/>
  <c r="AZ107" i="1"/>
  <c r="AW107" i="1" s="1"/>
  <c r="BD107" i="1"/>
  <c r="BH107" i="1"/>
  <c r="AZ108" i="1"/>
  <c r="AW108" i="1" s="1"/>
  <c r="BD108" i="1"/>
  <c r="BH108" i="1"/>
  <c r="AZ109" i="1"/>
  <c r="AW109" i="1" s="1"/>
  <c r="BD109" i="1"/>
  <c r="BH109" i="1"/>
  <c r="AZ110" i="1"/>
  <c r="AW110" i="1" s="1"/>
  <c r="BD110" i="1"/>
  <c r="BH110" i="1"/>
  <c r="AZ111" i="1"/>
  <c r="AW111" i="1" s="1"/>
  <c r="BD111" i="1"/>
  <c r="BH111" i="1"/>
  <c r="AZ112" i="1"/>
  <c r="AW112" i="1" s="1"/>
  <c r="BD112" i="1"/>
  <c r="BH112" i="1"/>
  <c r="AZ113" i="1"/>
  <c r="AW113" i="1" s="1"/>
  <c r="BD113" i="1"/>
  <c r="BH113" i="1"/>
  <c r="AZ114" i="1"/>
  <c r="AW114" i="1" s="1"/>
  <c r="BD114" i="1"/>
  <c r="BH114" i="1"/>
  <c r="AZ115" i="1"/>
  <c r="AW115" i="1" s="1"/>
  <c r="BD115" i="1"/>
  <c r="BH115" i="1"/>
  <c r="AZ116" i="1"/>
  <c r="AW116" i="1" s="1"/>
  <c r="BD116" i="1"/>
  <c r="BH116" i="1"/>
  <c r="AZ117" i="1"/>
  <c r="AW117" i="1" s="1"/>
  <c r="BD117" i="1"/>
  <c r="BH117" i="1"/>
  <c r="AZ118" i="1"/>
  <c r="AW118" i="1" s="1"/>
  <c r="BD118" i="1"/>
  <c r="BH118" i="1"/>
  <c r="AZ119" i="1"/>
  <c r="AW119" i="1" s="1"/>
  <c r="BD119" i="1"/>
  <c r="BH119" i="1"/>
  <c r="AZ120" i="1"/>
  <c r="AW120" i="1" s="1"/>
  <c r="BD120" i="1"/>
  <c r="BH120" i="1"/>
  <c r="AZ121" i="1"/>
  <c r="AW121" i="1" s="1"/>
  <c r="BD121" i="1"/>
  <c r="BH121" i="1"/>
  <c r="AZ122" i="1"/>
  <c r="AW122" i="1" s="1"/>
  <c r="BD122" i="1"/>
  <c r="BH122" i="1"/>
  <c r="AZ123" i="1"/>
  <c r="AW123" i="1" s="1"/>
  <c r="BD123" i="1"/>
  <c r="BH123" i="1"/>
  <c r="AZ124" i="1"/>
  <c r="AW124" i="1" s="1"/>
  <c r="BD124" i="1"/>
  <c r="BH124" i="1"/>
  <c r="AZ125" i="1"/>
  <c r="AW125" i="1" s="1"/>
  <c r="BD125" i="1"/>
  <c r="BH125" i="1"/>
  <c r="AZ126" i="1"/>
  <c r="AW126" i="1" s="1"/>
  <c r="BD126" i="1"/>
  <c r="BH126" i="1"/>
  <c r="AZ127" i="1"/>
  <c r="AW127" i="1" s="1"/>
  <c r="BD127" i="1"/>
  <c r="BH127" i="1"/>
  <c r="AZ128" i="1"/>
  <c r="AW128" i="1" s="1"/>
  <c r="BD128" i="1"/>
  <c r="BH128" i="1"/>
  <c r="AZ129" i="1"/>
  <c r="AW129" i="1" s="1"/>
  <c r="BD129" i="1"/>
  <c r="BH129" i="1"/>
  <c r="AZ130" i="1"/>
  <c r="AW130" i="1" s="1"/>
  <c r="BD130" i="1"/>
  <c r="BH130" i="1"/>
  <c r="AZ131" i="1"/>
  <c r="AW131" i="1" s="1"/>
  <c r="BD131" i="1"/>
  <c r="BH131" i="1"/>
  <c r="AZ132" i="1"/>
  <c r="AW132" i="1" s="1"/>
  <c r="BD132" i="1"/>
  <c r="BH132" i="1"/>
  <c r="AZ133" i="1"/>
  <c r="AW133" i="1" s="1"/>
  <c r="BD133" i="1"/>
  <c r="BH133" i="1"/>
  <c r="AZ134" i="1"/>
  <c r="AW134" i="1" s="1"/>
  <c r="BD134" i="1"/>
  <c r="BH134" i="1"/>
  <c r="AZ135" i="1"/>
  <c r="AW135" i="1" s="1"/>
  <c r="BD135" i="1"/>
  <c r="BH135" i="1"/>
  <c r="AZ136" i="1"/>
  <c r="AW136" i="1" s="1"/>
  <c r="BD136" i="1"/>
  <c r="BH136" i="1"/>
  <c r="AZ137" i="1"/>
  <c r="AW137" i="1" s="1"/>
  <c r="BD137" i="1"/>
  <c r="BH137" i="1"/>
  <c r="AZ138" i="1"/>
  <c r="AW138" i="1" s="1"/>
  <c r="BD138" i="1"/>
  <c r="BH138" i="1"/>
  <c r="AZ139" i="1"/>
  <c r="AW139" i="1" s="1"/>
  <c r="BD139" i="1"/>
  <c r="BH139" i="1"/>
  <c r="AZ140" i="1"/>
  <c r="AW140" i="1" s="1"/>
  <c r="BD140" i="1"/>
  <c r="BH140" i="1"/>
  <c r="AZ141" i="1"/>
  <c r="AW141" i="1" s="1"/>
  <c r="BD141" i="1"/>
  <c r="BH141" i="1"/>
  <c r="AZ142" i="1"/>
  <c r="AW142" i="1" s="1"/>
  <c r="BD142" i="1"/>
  <c r="BH142" i="1"/>
  <c r="AZ143" i="1"/>
  <c r="AW143" i="1" s="1"/>
  <c r="BD143" i="1"/>
  <c r="BH143" i="1"/>
  <c r="AZ144" i="1"/>
  <c r="AW144" i="1" s="1"/>
  <c r="BD144" i="1"/>
  <c r="BH144" i="1"/>
  <c r="AZ145" i="1"/>
  <c r="AW145" i="1" s="1"/>
  <c r="BD145" i="1"/>
  <c r="BH145" i="1"/>
  <c r="AZ146" i="1"/>
  <c r="AW146" i="1" s="1"/>
  <c r="BD146" i="1"/>
  <c r="BH146" i="1"/>
  <c r="AZ147" i="1"/>
  <c r="AW147" i="1" s="1"/>
  <c r="BD147" i="1"/>
  <c r="BH147" i="1"/>
  <c r="AZ148" i="1"/>
  <c r="AW148" i="1" s="1"/>
  <c r="BD148" i="1"/>
  <c r="BH148" i="1"/>
  <c r="AZ149" i="1"/>
  <c r="AW149" i="1" s="1"/>
  <c r="BD149" i="1"/>
  <c r="BH149" i="1"/>
  <c r="AZ150" i="1"/>
  <c r="AW150" i="1" s="1"/>
  <c r="BD150" i="1"/>
  <c r="BH150" i="1"/>
  <c r="AZ151" i="1"/>
  <c r="AW151" i="1" s="1"/>
  <c r="BD151" i="1"/>
  <c r="BH151" i="1"/>
  <c r="AZ152" i="1"/>
  <c r="AW152" i="1" s="1"/>
  <c r="BD152" i="1"/>
  <c r="BH152" i="1"/>
  <c r="AZ153" i="1"/>
  <c r="AW153" i="1" s="1"/>
  <c r="BD153" i="1"/>
  <c r="BH153" i="1"/>
  <c r="AZ154" i="1"/>
  <c r="AW154" i="1" s="1"/>
  <c r="BD154" i="1"/>
  <c r="BH154" i="1"/>
  <c r="AZ155" i="1"/>
  <c r="AW155" i="1" s="1"/>
  <c r="BD155" i="1"/>
  <c r="BH155" i="1"/>
  <c r="AZ156" i="1"/>
  <c r="AW156" i="1" s="1"/>
  <c r="BD156" i="1"/>
  <c r="BH156" i="1"/>
  <c r="AZ157" i="1"/>
  <c r="AW157" i="1" s="1"/>
  <c r="BD157" i="1"/>
  <c r="BH157" i="1"/>
  <c r="AZ158" i="1"/>
  <c r="AW158" i="1" s="1"/>
  <c r="BD158" i="1"/>
  <c r="BH158" i="1"/>
  <c r="AZ159" i="1"/>
  <c r="AW159" i="1" s="1"/>
  <c r="BD159" i="1"/>
  <c r="BH159" i="1"/>
  <c r="AZ160" i="1"/>
  <c r="AW160" i="1" s="1"/>
  <c r="BD160" i="1"/>
  <c r="BH160" i="1"/>
  <c r="AZ161" i="1"/>
  <c r="AW161" i="1" s="1"/>
  <c r="BD161" i="1"/>
  <c r="BH161" i="1"/>
  <c r="AZ162" i="1"/>
  <c r="AW162" i="1" s="1"/>
  <c r="BD162" i="1"/>
  <c r="BH162" i="1"/>
  <c r="AZ163" i="1"/>
  <c r="AW163" i="1" s="1"/>
  <c r="BD163" i="1"/>
  <c r="BH163" i="1"/>
  <c r="AZ164" i="1"/>
  <c r="AW164" i="1" s="1"/>
  <c r="BD164" i="1"/>
  <c r="BH164" i="1"/>
  <c r="AZ165" i="1"/>
  <c r="AW165" i="1" s="1"/>
  <c r="BD165" i="1"/>
  <c r="BH165" i="1"/>
  <c r="AZ166" i="1"/>
  <c r="AW166" i="1" s="1"/>
  <c r="BD166" i="1"/>
  <c r="BH166" i="1"/>
  <c r="AZ167" i="1"/>
  <c r="AW167" i="1" s="1"/>
  <c r="BD167" i="1"/>
  <c r="BH167" i="1"/>
  <c r="AZ168" i="1"/>
  <c r="AW168" i="1" s="1"/>
  <c r="BD168" i="1"/>
  <c r="BH168" i="1"/>
  <c r="AZ169" i="1"/>
  <c r="AW169" i="1" s="1"/>
  <c r="BD169" i="1"/>
  <c r="BH169" i="1"/>
  <c r="AZ170" i="1"/>
  <c r="AW170" i="1" s="1"/>
  <c r="BD170" i="1"/>
  <c r="BH170" i="1"/>
  <c r="AZ171" i="1"/>
  <c r="AW171" i="1" s="1"/>
  <c r="BD171" i="1"/>
  <c r="BH171" i="1"/>
  <c r="AZ172" i="1"/>
  <c r="AW172" i="1" s="1"/>
  <c r="BD172" i="1"/>
  <c r="BH172" i="1"/>
  <c r="AZ173" i="1"/>
  <c r="AW173" i="1" s="1"/>
  <c r="BD173" i="1"/>
  <c r="BH173" i="1"/>
  <c r="AZ174" i="1"/>
  <c r="AW174" i="1" s="1"/>
  <c r="BD174" i="1"/>
  <c r="BH174" i="1"/>
  <c r="AZ175" i="1"/>
  <c r="AW175" i="1" s="1"/>
  <c r="BD175" i="1"/>
  <c r="BH175" i="1"/>
  <c r="AZ176" i="1"/>
  <c r="AW176" i="1" s="1"/>
  <c r="BD176" i="1"/>
  <c r="BH176" i="1"/>
  <c r="AZ177" i="1"/>
  <c r="AW177" i="1" s="1"/>
  <c r="BD177" i="1"/>
  <c r="BH177" i="1"/>
  <c r="AZ178" i="1"/>
  <c r="AW178" i="1" s="1"/>
  <c r="BD178" i="1"/>
  <c r="BH178" i="1"/>
  <c r="AZ179" i="1"/>
  <c r="AW179" i="1" s="1"/>
  <c r="BD179" i="1"/>
  <c r="BH179" i="1"/>
  <c r="AZ180" i="1"/>
  <c r="AW180" i="1" s="1"/>
  <c r="BD180" i="1"/>
  <c r="BH180" i="1"/>
  <c r="AZ181" i="1"/>
  <c r="AW181" i="1" s="1"/>
  <c r="BD181" i="1"/>
  <c r="BH181" i="1"/>
  <c r="AZ182" i="1"/>
  <c r="AW182" i="1" s="1"/>
  <c r="BD182" i="1"/>
  <c r="BH182" i="1"/>
  <c r="AZ183" i="1"/>
  <c r="AW183" i="1" s="1"/>
  <c r="BD183" i="1"/>
  <c r="BH183" i="1"/>
  <c r="AZ184" i="1"/>
  <c r="AW184" i="1" s="1"/>
  <c r="BD184" i="1"/>
  <c r="BH184" i="1"/>
  <c r="AZ185" i="1"/>
  <c r="AW185" i="1" s="1"/>
  <c r="BD185" i="1"/>
  <c r="BH185" i="1"/>
  <c r="AZ186" i="1"/>
  <c r="AW186" i="1" s="1"/>
  <c r="BD186" i="1"/>
  <c r="BH186" i="1"/>
  <c r="AZ187" i="1"/>
  <c r="AW187" i="1" s="1"/>
  <c r="BD187" i="1"/>
  <c r="BH187" i="1"/>
  <c r="AZ188" i="1"/>
  <c r="AW188" i="1" s="1"/>
  <c r="BD188" i="1"/>
  <c r="BH188" i="1"/>
  <c r="AZ189" i="1"/>
  <c r="AW189" i="1" s="1"/>
  <c r="BD189" i="1"/>
  <c r="BH189" i="1"/>
  <c r="AZ190" i="1"/>
  <c r="AW190" i="1" s="1"/>
  <c r="BD190" i="1"/>
  <c r="BH190" i="1"/>
  <c r="AZ191" i="1"/>
  <c r="AW191" i="1" s="1"/>
  <c r="BD191" i="1"/>
  <c r="BH191" i="1"/>
  <c r="AZ192" i="1"/>
  <c r="AW192" i="1" s="1"/>
  <c r="BD192" i="1"/>
  <c r="BH192" i="1"/>
  <c r="AZ193" i="1"/>
  <c r="AW193" i="1" s="1"/>
  <c r="BD193" i="1"/>
  <c r="BH193" i="1"/>
  <c r="AZ194" i="1"/>
  <c r="AW194" i="1" s="1"/>
  <c r="BD194" i="1"/>
  <c r="BH194" i="1"/>
  <c r="AZ195" i="1"/>
  <c r="AW195" i="1" s="1"/>
  <c r="BD195" i="1"/>
  <c r="BH195" i="1"/>
  <c r="AZ196" i="1"/>
  <c r="AW196" i="1" s="1"/>
  <c r="BD196" i="1"/>
  <c r="BH196" i="1"/>
  <c r="AZ197" i="1"/>
  <c r="AW197" i="1" s="1"/>
  <c r="BD197" i="1"/>
  <c r="BH197" i="1"/>
  <c r="AZ198" i="1"/>
  <c r="AW198" i="1" s="1"/>
  <c r="BD198" i="1"/>
  <c r="BH198" i="1"/>
  <c r="AW11" i="1"/>
  <c r="AX11" i="1" s="1"/>
  <c r="AY11" i="1" s="1"/>
  <c r="AZ11" i="1" s="1"/>
  <c r="BI11" i="1"/>
  <c r="AJ162" i="1" l="1"/>
  <c r="U162" i="1"/>
  <c r="Q162" i="1"/>
  <c r="M162" i="1"/>
  <c r="J162" i="1" s="1"/>
  <c r="M47" i="1" l="1"/>
  <c r="J47" i="1" s="1"/>
  <c r="Q47" i="1"/>
  <c r="U47" i="1"/>
  <c r="AJ47" i="1"/>
  <c r="M48" i="1"/>
  <c r="J48" i="1" s="1"/>
  <c r="Q48" i="1"/>
  <c r="U48" i="1"/>
  <c r="AJ48" i="1"/>
  <c r="M49" i="1"/>
  <c r="J49" i="1" s="1"/>
  <c r="Q49" i="1"/>
  <c r="U49" i="1"/>
  <c r="AJ49" i="1"/>
  <c r="M50" i="1"/>
  <c r="J50" i="1" s="1"/>
  <c r="Q50" i="1"/>
  <c r="U50" i="1"/>
  <c r="AJ50" i="1"/>
  <c r="M51" i="1"/>
  <c r="J51" i="1" s="1"/>
  <c r="Q51" i="1"/>
  <c r="U51" i="1"/>
  <c r="AJ51" i="1"/>
  <c r="M52" i="1"/>
  <c r="J52" i="1" s="1"/>
  <c r="Q52" i="1"/>
  <c r="U52" i="1"/>
  <c r="AJ52" i="1"/>
  <c r="M53" i="1"/>
  <c r="J53" i="1" s="1"/>
  <c r="Q53" i="1"/>
  <c r="U53" i="1"/>
  <c r="AJ53" i="1"/>
  <c r="M54" i="1"/>
  <c r="J54" i="1" s="1"/>
  <c r="Q54" i="1"/>
  <c r="U54" i="1"/>
  <c r="AJ54" i="1"/>
  <c r="M55" i="1"/>
  <c r="J55" i="1" s="1"/>
  <c r="Q55" i="1"/>
  <c r="U55" i="1"/>
  <c r="AJ55" i="1"/>
  <c r="M56" i="1"/>
  <c r="J56" i="1" s="1"/>
  <c r="Q56" i="1"/>
  <c r="U56" i="1"/>
  <c r="AJ56" i="1"/>
  <c r="M57" i="1"/>
  <c r="J57" i="1" s="1"/>
  <c r="Q57" i="1"/>
  <c r="U57" i="1"/>
  <c r="AJ57" i="1"/>
  <c r="M58" i="1"/>
  <c r="J58" i="1" s="1"/>
  <c r="Q58" i="1"/>
  <c r="U58" i="1"/>
  <c r="AJ58" i="1"/>
  <c r="M59" i="1"/>
  <c r="J59" i="1" s="1"/>
  <c r="Q59" i="1"/>
  <c r="U59" i="1"/>
  <c r="AJ59" i="1"/>
  <c r="M60" i="1"/>
  <c r="J60" i="1" s="1"/>
  <c r="Q60" i="1"/>
  <c r="U60" i="1"/>
  <c r="AJ60" i="1"/>
  <c r="M61" i="1"/>
  <c r="J61" i="1" s="1"/>
  <c r="Q61" i="1"/>
  <c r="U61" i="1"/>
  <c r="AJ61" i="1"/>
  <c r="M62" i="1"/>
  <c r="J62" i="1" s="1"/>
  <c r="Q62" i="1"/>
  <c r="U62" i="1"/>
  <c r="AJ62" i="1"/>
  <c r="M63" i="1"/>
  <c r="J63" i="1" s="1"/>
  <c r="Q63" i="1"/>
  <c r="U63" i="1"/>
  <c r="AJ63" i="1"/>
  <c r="M64" i="1"/>
  <c r="J64" i="1" s="1"/>
  <c r="Q64" i="1"/>
  <c r="U64" i="1"/>
  <c r="AJ64" i="1"/>
  <c r="M65" i="1"/>
  <c r="J65" i="1" s="1"/>
  <c r="Q65" i="1"/>
  <c r="U65" i="1"/>
  <c r="AJ65" i="1"/>
  <c r="M66" i="1"/>
  <c r="J66" i="1" s="1"/>
  <c r="Q66" i="1"/>
  <c r="U66" i="1"/>
  <c r="AJ66" i="1"/>
  <c r="M67" i="1"/>
  <c r="J67" i="1" s="1"/>
  <c r="Q67" i="1"/>
  <c r="U67" i="1"/>
  <c r="AJ67" i="1"/>
  <c r="M68" i="1"/>
  <c r="J68" i="1" s="1"/>
  <c r="Q68" i="1"/>
  <c r="U68" i="1"/>
  <c r="AJ68" i="1"/>
  <c r="M69" i="1"/>
  <c r="J69" i="1" s="1"/>
  <c r="Q69" i="1"/>
  <c r="U69" i="1"/>
  <c r="AJ69" i="1"/>
  <c r="M70" i="1"/>
  <c r="J70" i="1" s="1"/>
  <c r="Q70" i="1"/>
  <c r="U70" i="1"/>
  <c r="AJ70" i="1"/>
  <c r="M71" i="1"/>
  <c r="J71" i="1" s="1"/>
  <c r="Q71" i="1"/>
  <c r="U71" i="1"/>
  <c r="AJ71" i="1"/>
  <c r="M72" i="1"/>
  <c r="J72" i="1" s="1"/>
  <c r="Q72" i="1"/>
  <c r="U72" i="1"/>
  <c r="AJ72" i="1"/>
  <c r="M73" i="1"/>
  <c r="J73" i="1" s="1"/>
  <c r="Q73" i="1"/>
  <c r="U73" i="1"/>
  <c r="AJ73" i="1"/>
  <c r="M74" i="1"/>
  <c r="J74" i="1" s="1"/>
  <c r="Q74" i="1"/>
  <c r="U74" i="1"/>
  <c r="AJ74" i="1"/>
  <c r="M75" i="1"/>
  <c r="J75" i="1" s="1"/>
  <c r="Q75" i="1"/>
  <c r="U75" i="1"/>
  <c r="AJ75" i="1"/>
  <c r="M76" i="1"/>
  <c r="J76" i="1" s="1"/>
  <c r="Q76" i="1"/>
  <c r="U76" i="1"/>
  <c r="AJ76" i="1"/>
  <c r="M77" i="1"/>
  <c r="J77" i="1" s="1"/>
  <c r="Q77" i="1"/>
  <c r="U77" i="1"/>
  <c r="AJ77" i="1"/>
  <c r="M78" i="1"/>
  <c r="J78" i="1" s="1"/>
  <c r="Q78" i="1"/>
  <c r="U78" i="1"/>
  <c r="AJ78" i="1"/>
  <c r="M79" i="1"/>
  <c r="J79" i="1" s="1"/>
  <c r="Q79" i="1"/>
  <c r="U79" i="1"/>
  <c r="AJ79" i="1"/>
  <c r="M80" i="1"/>
  <c r="J80" i="1" s="1"/>
  <c r="Q80" i="1"/>
  <c r="U80" i="1"/>
  <c r="AJ80" i="1"/>
  <c r="M81" i="1"/>
  <c r="J81" i="1" s="1"/>
  <c r="Q81" i="1"/>
  <c r="U81" i="1"/>
  <c r="AJ81" i="1"/>
  <c r="M82" i="1"/>
  <c r="J82" i="1" s="1"/>
  <c r="Q82" i="1"/>
  <c r="U82" i="1"/>
  <c r="AJ82" i="1"/>
  <c r="M83" i="1"/>
  <c r="J83" i="1" s="1"/>
  <c r="Q83" i="1"/>
  <c r="U83" i="1"/>
  <c r="AJ83" i="1"/>
  <c r="M84" i="1"/>
  <c r="J84" i="1" s="1"/>
  <c r="Q84" i="1"/>
  <c r="U84" i="1"/>
  <c r="AJ84" i="1"/>
  <c r="M85" i="1"/>
  <c r="J85" i="1" s="1"/>
  <c r="Q85" i="1"/>
  <c r="U85" i="1"/>
  <c r="AJ85" i="1"/>
  <c r="M86" i="1"/>
  <c r="J86" i="1" s="1"/>
  <c r="Q86" i="1"/>
  <c r="U86" i="1"/>
  <c r="AJ86" i="1"/>
  <c r="M87" i="1"/>
  <c r="J87" i="1" s="1"/>
  <c r="Q87" i="1"/>
  <c r="U87" i="1"/>
  <c r="AJ87" i="1"/>
  <c r="M88" i="1"/>
  <c r="J88" i="1" s="1"/>
  <c r="Q88" i="1"/>
  <c r="U88" i="1"/>
  <c r="AJ88" i="1"/>
  <c r="M89" i="1"/>
  <c r="J89" i="1" s="1"/>
  <c r="Q89" i="1"/>
  <c r="U89" i="1"/>
  <c r="AJ89" i="1"/>
  <c r="M90" i="1"/>
  <c r="J90" i="1" s="1"/>
  <c r="Q90" i="1"/>
  <c r="U90" i="1"/>
  <c r="AJ90" i="1"/>
  <c r="M91" i="1"/>
  <c r="J91" i="1" s="1"/>
  <c r="Q91" i="1"/>
  <c r="U91" i="1"/>
  <c r="AJ91" i="1"/>
  <c r="M92" i="1"/>
  <c r="J92" i="1" s="1"/>
  <c r="Q92" i="1"/>
  <c r="U92" i="1"/>
  <c r="AJ92" i="1"/>
  <c r="M93" i="1"/>
  <c r="J93" i="1" s="1"/>
  <c r="Q93" i="1"/>
  <c r="U93" i="1"/>
  <c r="AJ93" i="1"/>
  <c r="M94" i="1"/>
  <c r="J94" i="1" s="1"/>
  <c r="Q94" i="1"/>
  <c r="U94" i="1"/>
  <c r="AJ94" i="1"/>
  <c r="M95" i="1"/>
  <c r="J95" i="1" s="1"/>
  <c r="Q95" i="1"/>
  <c r="U95" i="1"/>
  <c r="AJ95" i="1"/>
  <c r="M96" i="1"/>
  <c r="J96" i="1" s="1"/>
  <c r="Q96" i="1"/>
  <c r="U96" i="1"/>
  <c r="AJ96" i="1"/>
  <c r="M97" i="1"/>
  <c r="J97" i="1" s="1"/>
  <c r="Q97" i="1"/>
  <c r="U97" i="1"/>
  <c r="AJ97" i="1"/>
  <c r="M98" i="1"/>
  <c r="J98" i="1" s="1"/>
  <c r="Q98" i="1"/>
  <c r="U98" i="1"/>
  <c r="AJ98" i="1"/>
  <c r="M99" i="1"/>
  <c r="J99" i="1" s="1"/>
  <c r="Q99" i="1"/>
  <c r="U99" i="1"/>
  <c r="AJ99" i="1"/>
  <c r="M100" i="1"/>
  <c r="J100" i="1" s="1"/>
  <c r="Q100" i="1"/>
  <c r="U100" i="1"/>
  <c r="AJ100" i="1"/>
  <c r="M101" i="1"/>
  <c r="J101" i="1" s="1"/>
  <c r="Q101" i="1"/>
  <c r="U101" i="1"/>
  <c r="AJ101" i="1"/>
  <c r="M102" i="1"/>
  <c r="J102" i="1" s="1"/>
  <c r="Q102" i="1"/>
  <c r="U102" i="1"/>
  <c r="AJ102" i="1"/>
  <c r="M103" i="1"/>
  <c r="J103" i="1" s="1"/>
  <c r="Q103" i="1"/>
  <c r="U103" i="1"/>
  <c r="AJ103" i="1"/>
  <c r="M104" i="1"/>
  <c r="J104" i="1" s="1"/>
  <c r="Q104" i="1"/>
  <c r="U104" i="1"/>
  <c r="AJ104" i="1"/>
  <c r="M105" i="1"/>
  <c r="J105" i="1" s="1"/>
  <c r="Q105" i="1"/>
  <c r="U105" i="1"/>
  <c r="AJ105" i="1"/>
  <c r="M106" i="1"/>
  <c r="J106" i="1" s="1"/>
  <c r="Q106" i="1"/>
  <c r="U106" i="1"/>
  <c r="AJ106" i="1"/>
  <c r="M107" i="1"/>
  <c r="J107" i="1" s="1"/>
  <c r="Q107" i="1"/>
  <c r="U107" i="1"/>
  <c r="AJ107" i="1"/>
  <c r="M108" i="1"/>
  <c r="J108" i="1" s="1"/>
  <c r="Q108" i="1"/>
  <c r="U108" i="1"/>
  <c r="AJ108" i="1"/>
  <c r="M109" i="1"/>
  <c r="J109" i="1" s="1"/>
  <c r="Q109" i="1"/>
  <c r="U109" i="1"/>
  <c r="AJ109" i="1"/>
  <c r="M110" i="1"/>
  <c r="J110" i="1" s="1"/>
  <c r="Q110" i="1"/>
  <c r="U110" i="1"/>
  <c r="AJ110" i="1"/>
  <c r="M111" i="1"/>
  <c r="J111" i="1" s="1"/>
  <c r="Q111" i="1"/>
  <c r="U111" i="1"/>
  <c r="AJ111" i="1"/>
  <c r="M112" i="1"/>
  <c r="J112" i="1" s="1"/>
  <c r="Q112" i="1"/>
  <c r="U112" i="1"/>
  <c r="AJ112" i="1"/>
  <c r="M113" i="1"/>
  <c r="J113" i="1" s="1"/>
  <c r="Q113" i="1"/>
  <c r="U113" i="1"/>
  <c r="AJ113" i="1"/>
  <c r="M114" i="1"/>
  <c r="J114" i="1" s="1"/>
  <c r="Q114" i="1"/>
  <c r="U114" i="1"/>
  <c r="AJ114" i="1"/>
  <c r="M115" i="1"/>
  <c r="J115" i="1" s="1"/>
  <c r="Q115" i="1"/>
  <c r="U115" i="1"/>
  <c r="AJ115" i="1"/>
  <c r="M116" i="1"/>
  <c r="J116" i="1" s="1"/>
  <c r="Q116" i="1"/>
  <c r="U116" i="1"/>
  <c r="AJ116" i="1"/>
  <c r="M117" i="1"/>
  <c r="J117" i="1" s="1"/>
  <c r="Q117" i="1"/>
  <c r="U117" i="1"/>
  <c r="AJ117" i="1"/>
  <c r="M118" i="1"/>
  <c r="J118" i="1" s="1"/>
  <c r="Q118" i="1"/>
  <c r="U118" i="1"/>
  <c r="AJ118" i="1"/>
  <c r="M119" i="1"/>
  <c r="J119" i="1" s="1"/>
  <c r="Q119" i="1"/>
  <c r="U119" i="1"/>
  <c r="AJ119" i="1"/>
  <c r="M120" i="1"/>
  <c r="J120" i="1" s="1"/>
  <c r="Q120" i="1"/>
  <c r="U120" i="1"/>
  <c r="AJ120" i="1"/>
  <c r="M121" i="1"/>
  <c r="J121" i="1" s="1"/>
  <c r="Q121" i="1"/>
  <c r="U121" i="1"/>
  <c r="AJ121" i="1"/>
  <c r="M122" i="1"/>
  <c r="J122" i="1" s="1"/>
  <c r="Q122" i="1"/>
  <c r="U122" i="1"/>
  <c r="AJ122" i="1"/>
  <c r="M123" i="1"/>
  <c r="J123" i="1" s="1"/>
  <c r="Q123" i="1"/>
  <c r="U123" i="1"/>
  <c r="AJ123" i="1"/>
  <c r="M124" i="1"/>
  <c r="J124" i="1" s="1"/>
  <c r="Q124" i="1"/>
  <c r="U124" i="1"/>
  <c r="AJ124" i="1"/>
  <c r="M125" i="1"/>
  <c r="J125" i="1" s="1"/>
  <c r="Q125" i="1"/>
  <c r="U125" i="1"/>
  <c r="AJ125" i="1"/>
  <c r="M126" i="1"/>
  <c r="J126" i="1" s="1"/>
  <c r="Q126" i="1"/>
  <c r="U126" i="1"/>
  <c r="AJ126" i="1"/>
  <c r="M127" i="1"/>
  <c r="J127" i="1" s="1"/>
  <c r="Q127" i="1"/>
  <c r="U127" i="1"/>
  <c r="AJ127" i="1"/>
  <c r="M128" i="1"/>
  <c r="J128" i="1" s="1"/>
  <c r="Q128" i="1"/>
  <c r="U128" i="1"/>
  <c r="AJ128" i="1"/>
  <c r="M129" i="1"/>
  <c r="J129" i="1" s="1"/>
  <c r="Q129" i="1"/>
  <c r="U129" i="1"/>
  <c r="AJ129" i="1"/>
  <c r="M130" i="1"/>
  <c r="J130" i="1" s="1"/>
  <c r="Q130" i="1"/>
  <c r="U130" i="1"/>
  <c r="AJ130" i="1"/>
  <c r="M131" i="1"/>
  <c r="J131" i="1" s="1"/>
  <c r="Q131" i="1"/>
  <c r="U131" i="1"/>
  <c r="AJ131" i="1"/>
  <c r="M132" i="1"/>
  <c r="J132" i="1" s="1"/>
  <c r="Q132" i="1"/>
  <c r="U132" i="1"/>
  <c r="AJ132" i="1"/>
  <c r="M133" i="1"/>
  <c r="J133" i="1" s="1"/>
  <c r="Q133" i="1"/>
  <c r="U133" i="1"/>
  <c r="AJ133" i="1"/>
  <c r="M134" i="1"/>
  <c r="J134" i="1" s="1"/>
  <c r="Q134" i="1"/>
  <c r="U134" i="1"/>
  <c r="AJ134" i="1"/>
  <c r="M135" i="1"/>
  <c r="J135" i="1" s="1"/>
  <c r="Q135" i="1"/>
  <c r="U135" i="1"/>
  <c r="AJ135" i="1"/>
  <c r="M136" i="1"/>
  <c r="J136" i="1" s="1"/>
  <c r="Q136" i="1"/>
  <c r="U136" i="1"/>
  <c r="AJ136" i="1"/>
  <c r="M137" i="1"/>
  <c r="J137" i="1" s="1"/>
  <c r="Q137" i="1"/>
  <c r="U137" i="1"/>
  <c r="AJ137" i="1"/>
  <c r="M138" i="1"/>
  <c r="J138" i="1" s="1"/>
  <c r="Q138" i="1"/>
  <c r="U138" i="1"/>
  <c r="AJ138" i="1"/>
  <c r="J139" i="1"/>
  <c r="Q139" i="1"/>
  <c r="U139" i="1"/>
  <c r="AJ139" i="1"/>
  <c r="M140" i="1"/>
  <c r="J140" i="1" s="1"/>
  <c r="Q140" i="1"/>
  <c r="U140" i="1"/>
  <c r="AJ140" i="1"/>
  <c r="M141" i="1"/>
  <c r="J141" i="1" s="1"/>
  <c r="Q141" i="1"/>
  <c r="U141" i="1"/>
  <c r="AJ141" i="1"/>
  <c r="M142" i="1"/>
  <c r="J142" i="1" s="1"/>
  <c r="Q142" i="1"/>
  <c r="U142" i="1"/>
  <c r="AJ142" i="1"/>
  <c r="M143" i="1"/>
  <c r="J143" i="1" s="1"/>
  <c r="Q143" i="1"/>
  <c r="U143" i="1"/>
  <c r="AJ143" i="1"/>
  <c r="M144" i="1"/>
  <c r="J144" i="1" s="1"/>
  <c r="Q144" i="1"/>
  <c r="U144" i="1"/>
  <c r="AJ144" i="1"/>
  <c r="M145" i="1"/>
  <c r="J145" i="1" s="1"/>
  <c r="Q145" i="1"/>
  <c r="U145" i="1"/>
  <c r="AJ145" i="1"/>
  <c r="M146" i="1"/>
  <c r="J146" i="1" s="1"/>
  <c r="Q146" i="1"/>
  <c r="U146" i="1"/>
  <c r="AJ146" i="1"/>
  <c r="M147" i="1"/>
  <c r="J147" i="1" s="1"/>
  <c r="Q147" i="1"/>
  <c r="U147" i="1"/>
  <c r="AJ147" i="1"/>
  <c r="M148" i="1"/>
  <c r="J148" i="1" s="1"/>
  <c r="Q148" i="1"/>
  <c r="U148" i="1"/>
  <c r="AJ148" i="1"/>
  <c r="M149" i="1"/>
  <c r="J149" i="1" s="1"/>
  <c r="Q149" i="1"/>
  <c r="U149" i="1"/>
  <c r="AJ149" i="1"/>
  <c r="M150" i="1"/>
  <c r="J150" i="1" s="1"/>
  <c r="Q150" i="1"/>
  <c r="U150" i="1"/>
  <c r="AJ150" i="1"/>
  <c r="M151" i="1"/>
  <c r="J151" i="1" s="1"/>
  <c r="Q151" i="1"/>
  <c r="U151" i="1"/>
  <c r="AJ151" i="1"/>
  <c r="M152" i="1"/>
  <c r="J152" i="1" s="1"/>
  <c r="Q152" i="1"/>
  <c r="U152" i="1"/>
  <c r="AJ152" i="1"/>
  <c r="M153" i="1"/>
  <c r="J153" i="1" s="1"/>
  <c r="Q153" i="1"/>
  <c r="U153" i="1"/>
  <c r="AJ153" i="1"/>
  <c r="M154" i="1"/>
  <c r="J154" i="1" s="1"/>
  <c r="Q154" i="1"/>
  <c r="U154" i="1"/>
  <c r="AJ154" i="1"/>
  <c r="M155" i="1"/>
  <c r="J155" i="1" s="1"/>
  <c r="Q155" i="1"/>
  <c r="U155" i="1"/>
  <c r="AJ155" i="1"/>
  <c r="M156" i="1"/>
  <c r="J156" i="1" s="1"/>
  <c r="Q156" i="1"/>
  <c r="U156" i="1"/>
  <c r="AJ156" i="1"/>
  <c r="M157" i="1"/>
  <c r="J157" i="1" s="1"/>
  <c r="Q157" i="1"/>
  <c r="U157" i="1"/>
  <c r="AJ157" i="1"/>
  <c r="M158" i="1"/>
  <c r="J158" i="1" s="1"/>
  <c r="Q158" i="1"/>
  <c r="U158" i="1"/>
  <c r="AJ158" i="1"/>
  <c r="M159" i="1"/>
  <c r="J159" i="1" s="1"/>
  <c r="Q159" i="1"/>
  <c r="U159" i="1"/>
  <c r="AJ159" i="1"/>
  <c r="M160" i="1"/>
  <c r="J160" i="1" s="1"/>
  <c r="Q160" i="1"/>
  <c r="U160" i="1"/>
  <c r="AJ160" i="1"/>
  <c r="M161" i="1"/>
  <c r="J161" i="1" s="1"/>
  <c r="Q161" i="1"/>
  <c r="U161" i="1"/>
  <c r="AJ161" i="1"/>
  <c r="M164" i="1"/>
  <c r="J164" i="1" s="1"/>
  <c r="Q164" i="1"/>
  <c r="U164" i="1"/>
  <c r="AJ164" i="1"/>
  <c r="M165" i="1"/>
  <c r="J165" i="1" s="1"/>
  <c r="Q165" i="1"/>
  <c r="U165" i="1"/>
  <c r="AJ165" i="1"/>
  <c r="M166" i="1"/>
  <c r="J166" i="1" s="1"/>
  <c r="Q166" i="1"/>
  <c r="U166" i="1"/>
  <c r="AJ166" i="1"/>
  <c r="M167" i="1"/>
  <c r="J167" i="1" s="1"/>
  <c r="Q167" i="1"/>
  <c r="U167" i="1"/>
  <c r="AJ167" i="1"/>
  <c r="M168" i="1"/>
  <c r="J168" i="1" s="1"/>
  <c r="Q168" i="1"/>
  <c r="U168" i="1"/>
  <c r="AJ168" i="1"/>
  <c r="M169" i="1"/>
  <c r="J169" i="1" s="1"/>
  <c r="Q169" i="1"/>
  <c r="U169" i="1"/>
  <c r="AJ169" i="1"/>
  <c r="M170" i="1"/>
  <c r="J170" i="1" s="1"/>
  <c r="Q170" i="1"/>
  <c r="U170" i="1"/>
  <c r="AJ170" i="1"/>
  <c r="M171" i="1"/>
  <c r="J171" i="1" s="1"/>
  <c r="Q171" i="1"/>
  <c r="U171" i="1"/>
  <c r="AJ171" i="1"/>
  <c r="M172" i="1"/>
  <c r="J172" i="1" s="1"/>
  <c r="Q172" i="1"/>
  <c r="U172" i="1"/>
  <c r="AJ172" i="1"/>
  <c r="M173" i="1"/>
  <c r="J173" i="1" s="1"/>
  <c r="Q173" i="1"/>
  <c r="U173" i="1"/>
  <c r="AJ173" i="1"/>
  <c r="M174" i="1"/>
  <c r="J174" i="1" s="1"/>
  <c r="Q174" i="1"/>
  <c r="U174" i="1"/>
  <c r="AJ174" i="1"/>
  <c r="M178" i="1"/>
  <c r="J178" i="1" s="1"/>
  <c r="Q178" i="1"/>
  <c r="U178" i="1"/>
  <c r="AJ178" i="1"/>
  <c r="M179" i="1"/>
  <c r="J179" i="1" s="1"/>
  <c r="Q179" i="1"/>
  <c r="U179" i="1"/>
  <c r="AJ179" i="1"/>
  <c r="M180" i="1"/>
  <c r="J180" i="1" s="1"/>
  <c r="Q180" i="1"/>
  <c r="U180" i="1"/>
  <c r="AJ180" i="1"/>
  <c r="M181" i="1"/>
  <c r="J181" i="1" s="1"/>
  <c r="Q181" i="1"/>
  <c r="U181" i="1"/>
  <c r="AJ181" i="1"/>
  <c r="M182" i="1"/>
  <c r="J182" i="1" s="1"/>
  <c r="Q182" i="1"/>
  <c r="U182" i="1"/>
  <c r="AJ182" i="1"/>
  <c r="M183" i="1"/>
  <c r="J183" i="1" s="1"/>
  <c r="Q183" i="1"/>
  <c r="U183" i="1"/>
  <c r="AJ183" i="1"/>
  <c r="M184" i="1"/>
  <c r="J184" i="1" s="1"/>
  <c r="Q184" i="1"/>
  <c r="U184" i="1"/>
  <c r="AJ184" i="1"/>
  <c r="M185" i="1"/>
  <c r="J185" i="1" s="1"/>
  <c r="Q185" i="1"/>
  <c r="U185" i="1"/>
  <c r="AJ185" i="1"/>
  <c r="M186" i="1"/>
  <c r="J186" i="1" s="1"/>
  <c r="Q186" i="1"/>
  <c r="U186" i="1"/>
  <c r="AJ186" i="1"/>
  <c r="M187" i="1"/>
  <c r="J187" i="1" s="1"/>
  <c r="Q187" i="1"/>
  <c r="U187" i="1"/>
  <c r="AJ187" i="1"/>
  <c r="M188" i="1"/>
  <c r="J188" i="1" s="1"/>
  <c r="Q188" i="1"/>
  <c r="U188" i="1"/>
  <c r="AJ188" i="1"/>
  <c r="M189" i="1"/>
  <c r="J189" i="1" s="1"/>
  <c r="Q189" i="1"/>
  <c r="U189" i="1"/>
  <c r="AJ189" i="1"/>
  <c r="M190" i="1"/>
  <c r="J190" i="1" s="1"/>
  <c r="Q190" i="1"/>
  <c r="U190" i="1"/>
  <c r="AJ190" i="1"/>
  <c r="M191" i="1"/>
  <c r="J191" i="1" s="1"/>
  <c r="Q191" i="1"/>
  <c r="U191" i="1"/>
  <c r="AJ191" i="1"/>
  <c r="M192" i="1"/>
  <c r="J192" i="1" s="1"/>
  <c r="Q192" i="1"/>
  <c r="U192" i="1"/>
  <c r="AJ192" i="1"/>
  <c r="M193" i="1"/>
  <c r="J193" i="1" s="1"/>
  <c r="Q193" i="1"/>
  <c r="U193" i="1"/>
  <c r="AJ193" i="1"/>
  <c r="M194" i="1"/>
  <c r="J194" i="1" s="1"/>
  <c r="Q194" i="1"/>
  <c r="U194" i="1"/>
  <c r="AJ194" i="1"/>
  <c r="M195" i="1"/>
  <c r="J195" i="1" s="1"/>
  <c r="Q195" i="1"/>
  <c r="U195" i="1"/>
  <c r="AJ195" i="1"/>
  <c r="M196" i="1"/>
  <c r="J196" i="1" s="1"/>
  <c r="Q196" i="1"/>
  <c r="U196" i="1"/>
  <c r="AJ196" i="1"/>
  <c r="M197" i="1"/>
  <c r="J197" i="1" s="1"/>
  <c r="Q197" i="1"/>
  <c r="U197" i="1"/>
  <c r="AJ197" i="1"/>
  <c r="M198" i="1"/>
  <c r="J198" i="1" s="1"/>
  <c r="Q198" i="1"/>
  <c r="U198" i="1"/>
  <c r="AJ198" i="1"/>
  <c r="M17" i="1"/>
  <c r="J17" i="1" s="1"/>
  <c r="Q17" i="1"/>
  <c r="U17" i="1"/>
  <c r="AJ17" i="1"/>
  <c r="M18" i="1"/>
  <c r="J18" i="1" s="1"/>
  <c r="Q18" i="1"/>
  <c r="U18" i="1"/>
  <c r="AJ18" i="1"/>
  <c r="M19" i="1"/>
  <c r="J19" i="1" s="1"/>
  <c r="Q19" i="1"/>
  <c r="U19" i="1"/>
  <c r="AJ19" i="1"/>
  <c r="M20" i="1"/>
  <c r="J20" i="1" s="1"/>
  <c r="Q20" i="1"/>
  <c r="U20" i="1"/>
  <c r="AJ20" i="1"/>
  <c r="M21" i="1"/>
  <c r="J21" i="1" s="1"/>
  <c r="Q21" i="1"/>
  <c r="U21" i="1"/>
  <c r="AJ21" i="1"/>
  <c r="M22" i="1"/>
  <c r="J22" i="1" s="1"/>
  <c r="Q22" i="1"/>
  <c r="U22" i="1"/>
  <c r="AJ22" i="1"/>
  <c r="M23" i="1"/>
  <c r="J23" i="1" s="1"/>
  <c r="Q23" i="1"/>
  <c r="U23" i="1"/>
  <c r="AJ23" i="1"/>
  <c r="M24" i="1"/>
  <c r="J24" i="1" s="1"/>
  <c r="Q24" i="1"/>
  <c r="U24" i="1"/>
  <c r="AJ24" i="1"/>
  <c r="M25" i="1"/>
  <c r="J25" i="1" s="1"/>
  <c r="Q25" i="1"/>
  <c r="U25" i="1"/>
  <c r="AJ25" i="1"/>
  <c r="M26" i="1"/>
  <c r="J26" i="1" s="1"/>
  <c r="Q26" i="1"/>
  <c r="U26" i="1"/>
  <c r="AJ26" i="1"/>
  <c r="M27" i="1"/>
  <c r="J27" i="1" s="1"/>
  <c r="Q27" i="1"/>
  <c r="U27" i="1"/>
  <c r="AJ27" i="1"/>
  <c r="M28" i="1"/>
  <c r="J28" i="1" s="1"/>
  <c r="Q28" i="1"/>
  <c r="U28" i="1"/>
  <c r="AJ28" i="1"/>
  <c r="M29" i="1"/>
  <c r="J29" i="1" s="1"/>
  <c r="Q29" i="1"/>
  <c r="U29" i="1"/>
  <c r="AJ29" i="1"/>
  <c r="M30" i="1"/>
  <c r="J30" i="1" s="1"/>
  <c r="Q30" i="1"/>
  <c r="U30" i="1"/>
  <c r="AJ30" i="1"/>
  <c r="M31" i="1"/>
  <c r="J31" i="1" s="1"/>
  <c r="Q31" i="1"/>
  <c r="U31" i="1"/>
  <c r="AJ31" i="1"/>
  <c r="M32" i="1"/>
  <c r="J32" i="1" s="1"/>
  <c r="Q32" i="1"/>
  <c r="U32" i="1"/>
  <c r="AJ32" i="1"/>
  <c r="M33" i="1"/>
  <c r="J33" i="1" s="1"/>
  <c r="Q33" i="1"/>
  <c r="U33" i="1"/>
  <c r="AJ33" i="1"/>
  <c r="M34" i="1"/>
  <c r="J34" i="1" s="1"/>
  <c r="Q34" i="1"/>
  <c r="U34" i="1"/>
  <c r="AJ34" i="1"/>
  <c r="M35" i="1"/>
  <c r="Q35" i="1"/>
  <c r="AJ35" i="1"/>
  <c r="M36" i="1"/>
  <c r="J36" i="1" s="1"/>
  <c r="Q36" i="1"/>
  <c r="U36" i="1"/>
  <c r="AJ36" i="1"/>
  <c r="M37" i="1"/>
  <c r="J37" i="1" s="1"/>
  <c r="Q37" i="1"/>
  <c r="U37" i="1"/>
  <c r="AJ37" i="1"/>
  <c r="U38" i="1"/>
  <c r="AJ38" i="1"/>
  <c r="M39" i="1"/>
  <c r="J39" i="1" s="1"/>
  <c r="Q39" i="1"/>
  <c r="U39" i="1"/>
  <c r="AJ39" i="1"/>
  <c r="M40" i="1"/>
  <c r="J40" i="1" s="1"/>
  <c r="Q40" i="1"/>
  <c r="U40" i="1"/>
  <c r="AJ40" i="1"/>
  <c r="M41" i="1"/>
  <c r="J41" i="1" s="1"/>
  <c r="Q41" i="1"/>
  <c r="U41" i="1"/>
  <c r="AJ41" i="1"/>
  <c r="M42" i="1"/>
  <c r="J42" i="1" s="1"/>
  <c r="Q42" i="1"/>
  <c r="U42" i="1"/>
  <c r="AJ42" i="1"/>
  <c r="M43" i="1"/>
  <c r="J43" i="1" s="1"/>
  <c r="Q43" i="1"/>
  <c r="U43" i="1"/>
  <c r="AJ43" i="1"/>
  <c r="M44" i="1"/>
  <c r="J44" i="1" s="1"/>
  <c r="Q44" i="1"/>
  <c r="U44" i="1"/>
  <c r="AJ44" i="1"/>
  <c r="M45" i="1"/>
  <c r="J45" i="1" s="1"/>
  <c r="Q45" i="1"/>
  <c r="U45" i="1"/>
  <c r="AJ45" i="1"/>
  <c r="M46" i="1"/>
  <c r="J46" i="1" s="1"/>
  <c r="Q46" i="1"/>
  <c r="U46" i="1"/>
  <c r="AJ46" i="1"/>
  <c r="M163" i="1"/>
  <c r="J163" i="1" s="1"/>
  <c r="Q163" i="1"/>
  <c r="U163" i="1"/>
  <c r="AJ163" i="1"/>
  <c r="M175" i="1"/>
  <c r="J175" i="1" s="1"/>
  <c r="Q175" i="1"/>
  <c r="U175" i="1"/>
  <c r="AJ175" i="1"/>
  <c r="M176" i="1"/>
  <c r="J176" i="1" s="1"/>
  <c r="Q176" i="1"/>
  <c r="U176" i="1"/>
  <c r="AJ176" i="1"/>
  <c r="M177" i="1"/>
  <c r="J177" i="1" s="1"/>
  <c r="Q177" i="1"/>
  <c r="U177" i="1"/>
  <c r="AJ177" i="1"/>
  <c r="J35" i="1" l="1"/>
  <c r="R35" i="1"/>
  <c r="U35" i="1" s="1"/>
  <c r="E11" i="1" l="1"/>
  <c r="F11" i="1" s="1"/>
  <c r="G11" i="1" s="1"/>
  <c r="H11" i="1" s="1"/>
  <c r="I11" i="1" s="1"/>
  <c r="J11" i="1" s="1"/>
  <c r="K11" i="1" s="1"/>
  <c r="L11" i="1" s="1"/>
  <c r="M11" i="1" s="1"/>
  <c r="V11" i="1"/>
  <c r="W11" i="1" s="1"/>
  <c r="X11" i="1" s="1"/>
  <c r="Y11" i="1" s="1"/>
  <c r="Z11" i="1" s="1"/>
  <c r="AA11" i="1" s="1"/>
  <c r="AB11" i="1" s="1"/>
  <c r="AC11" i="1" s="1"/>
  <c r="AD11" i="1" s="1"/>
  <c r="AE11" i="1" s="1"/>
  <c r="M38" i="1"/>
  <c r="Q38" i="1"/>
  <c r="L1" i="1" l="1"/>
  <c r="M1" i="1"/>
  <c r="J38" i="1"/>
</calcChain>
</file>

<file path=xl/sharedStrings.xml><?xml version="1.0" encoding="utf-8"?>
<sst xmlns="http://schemas.openxmlformats.org/spreadsheetml/2006/main" count="1300" uniqueCount="379">
  <si>
    <t>Early Funds 1</t>
  </si>
  <si>
    <t>Early Funds 2</t>
  </si>
  <si>
    <t>Data Updated</t>
  </si>
  <si>
    <t>Primary Layout Report Date:</t>
  </si>
  <si>
    <t>TARGET DELIVERY DATE: JANUARY 19, 2021</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</si>
  <si>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</si>
  <si>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r>
      <t xml:space="preserve">Please </t>
    </r>
    <r>
      <rPr>
        <b/>
        <u/>
        <sz val="12"/>
        <rFont val="Arial"/>
        <family val="2"/>
      </rPr>
      <t>Skip Rows Between Entries</t>
    </r>
    <r>
      <rPr>
        <b/>
        <u/>
        <sz val="14"/>
        <rFont val="Arial"/>
        <family val="2"/>
      </rPr>
      <t xml:space="preserve"> (no requirement to list in CUSIP order)</t>
    </r>
  </si>
  <si>
    <t>JSL ORIGINALS - DO NOT TOUCH</t>
  </si>
  <si>
    <t>Total</t>
  </si>
  <si>
    <t>Year Included in Shareholders' Income</t>
  </si>
  <si>
    <t>Form 1099 Box 1a Breakdown</t>
  </si>
  <si>
    <t>Box 1a Total</t>
  </si>
  <si>
    <t>Form 1099 Box 1b Breakdown</t>
  </si>
  <si>
    <t>Box 1b Total</t>
  </si>
  <si>
    <t>Box 2a</t>
  </si>
  <si>
    <t>Box 2b</t>
  </si>
  <si>
    <t>Box 2c</t>
  </si>
  <si>
    <t>Box 2d</t>
  </si>
  <si>
    <t>Box 3</t>
  </si>
  <si>
    <t>Box 7</t>
  </si>
  <si>
    <t>Box 9</t>
  </si>
  <si>
    <t>Box 10</t>
  </si>
  <si>
    <t>Box 11</t>
  </si>
  <si>
    <t xml:space="preserve">CUSIP </t>
  </si>
  <si>
    <t>Form 1099 Box 5 Breakdown</t>
  </si>
  <si>
    <t>Box 5 Total</t>
  </si>
  <si>
    <t>Security</t>
  </si>
  <si>
    <t>Distribution</t>
  </si>
  <si>
    <t>Foreign</t>
  </si>
  <si>
    <t>Ordinary</t>
  </si>
  <si>
    <t>Qualified</t>
  </si>
  <si>
    <t xml:space="preserve">Qualified </t>
  </si>
  <si>
    <t>Total Capital</t>
  </si>
  <si>
    <t>Unrecap</t>
  </si>
  <si>
    <t>Cash</t>
  </si>
  <si>
    <t>Noncash</t>
  </si>
  <si>
    <t>Exempt</t>
  </si>
  <si>
    <t>Percentage</t>
  </si>
  <si>
    <t>Number</t>
  </si>
  <si>
    <t>Section 199A</t>
  </si>
  <si>
    <t>Description</t>
  </si>
  <si>
    <t>Ticker</t>
  </si>
  <si>
    <t>Estimated</t>
  </si>
  <si>
    <t>Reclass</t>
  </si>
  <si>
    <t>Corrected</t>
  </si>
  <si>
    <t>Record</t>
  </si>
  <si>
    <t>Ex-Dividend</t>
  </si>
  <si>
    <t>Payable</t>
  </si>
  <si>
    <t>Per Share</t>
  </si>
  <si>
    <t>(Prior Year)</t>
  </si>
  <si>
    <t>(Next Year)</t>
  </si>
  <si>
    <t>(Current Year)</t>
  </si>
  <si>
    <t>Income</t>
  </si>
  <si>
    <t>Short-term</t>
  </si>
  <si>
    <t>Tax</t>
  </si>
  <si>
    <t>Dividends</t>
  </si>
  <si>
    <t>Foreign Tax</t>
  </si>
  <si>
    <t>Dividends*</t>
  </si>
  <si>
    <t>Gain Distr.</t>
  </si>
  <si>
    <t>Sec. 1250</t>
  </si>
  <si>
    <t>Section 1202</t>
  </si>
  <si>
    <t>Collectibles</t>
  </si>
  <si>
    <t>Nondividend</t>
  </si>
  <si>
    <t>Liquidation</t>
  </si>
  <si>
    <t>Interest</t>
  </si>
  <si>
    <t>of AMT</t>
  </si>
  <si>
    <t>Change</t>
  </si>
  <si>
    <t>Early</t>
  </si>
  <si>
    <t>(Fund Name)</t>
  </si>
  <si>
    <t>CUSIP</t>
  </si>
  <si>
    <t>Symbol</t>
  </si>
  <si>
    <t xml:space="preserve">(E) </t>
  </si>
  <si>
    <t xml:space="preserve">(R) </t>
  </si>
  <si>
    <t>(C)</t>
  </si>
  <si>
    <t>Date</t>
  </si>
  <si>
    <t>(11+12+13)</t>
  </si>
  <si>
    <t>(14+15+22+26+28+30)</t>
  </si>
  <si>
    <t>Capital Gain</t>
  </si>
  <si>
    <t>Paid</t>
  </si>
  <si>
    <t>(14+15+16)</t>
  </si>
  <si>
    <t>Gains</t>
  </si>
  <si>
    <t>(18+19+20)</t>
  </si>
  <si>
    <t>Gain</t>
  </si>
  <si>
    <t>(28%) Gain</t>
  </si>
  <si>
    <t>Distributions</t>
  </si>
  <si>
    <t>Distr</t>
  </si>
  <si>
    <t>in Column 30</t>
  </si>
  <si>
    <t>(M) or (Y)</t>
  </si>
  <si>
    <t>(33+34+35)</t>
  </si>
  <si>
    <t>REV</t>
  </si>
  <si>
    <t>MAN</t>
  </si>
  <si>
    <t>WOJO</t>
  </si>
  <si>
    <t>Updated</t>
  </si>
  <si>
    <t>WOJO -V2</t>
  </si>
  <si>
    <t>Fund</t>
  </si>
  <si>
    <t>R</t>
  </si>
  <si>
    <t>SM</t>
  </si>
  <si>
    <t>1/14/21 - Batch 6</t>
  </si>
  <si>
    <t>N/A - ETF</t>
  </si>
  <si>
    <t>DK</t>
  </si>
  <si>
    <t>MK</t>
  </si>
  <si>
    <t>DG</t>
  </si>
  <si>
    <t>CLOSED Direxion All Cap Insider Sentiment Shares</t>
  </si>
  <si>
    <t>25459Y769</t>
  </si>
  <si>
    <t>KNOW</t>
  </si>
  <si>
    <t>CLOSED Direxion Daily 20+ Year Treasury Bear 1X Shares</t>
  </si>
  <si>
    <t>25459Y405</t>
  </si>
  <si>
    <t>TYBS</t>
  </si>
  <si>
    <t xml:space="preserve">R </t>
  </si>
  <si>
    <t>CLOSED Direxion Daily Comm Services Index Bear 3X Shares</t>
  </si>
  <si>
    <t>25460G682</t>
  </si>
  <si>
    <t>MUTE</t>
  </si>
  <si>
    <t>CLOSED Direxion Daily Consumer Discr Bear 3X Shares</t>
  </si>
  <si>
    <t>25460G674</t>
  </si>
  <si>
    <t>PASS</t>
  </si>
  <si>
    <t>CLOSED Direxion Daily Consumer Staples Bear 3X Shares</t>
  </si>
  <si>
    <t>25459Y702</t>
  </si>
  <si>
    <t>LACK</t>
  </si>
  <si>
    <t>CLOSED Direxion Daily Consumer Staples Bull 3X Shares</t>
  </si>
  <si>
    <t>25459Y785</t>
  </si>
  <si>
    <t>NEED</t>
  </si>
  <si>
    <t>CLOSED Direxion Daily Developed Markets Bull 3X Shares</t>
  </si>
  <si>
    <t>25459W789</t>
  </si>
  <si>
    <t>DZK</t>
  </si>
  <si>
    <t>CLOSED Direxion Daily Japan Bull 3X Shares</t>
  </si>
  <si>
    <t>25459Y413</t>
  </si>
  <si>
    <t>JPNL</t>
  </si>
  <si>
    <t>CLOSED Direxion Daily Small Cap Bull 2X Shares</t>
  </si>
  <si>
    <t>25459Y181</t>
  </si>
  <si>
    <t>SMLL</t>
  </si>
  <si>
    <t>CLOSED Direxion FTSE Russell International Over US ETF</t>
  </si>
  <si>
    <t>25460E463</t>
  </si>
  <si>
    <t>RWIU</t>
  </si>
  <si>
    <t>CLOSED Direxion FTSE Russell US Over International ETF</t>
  </si>
  <si>
    <t>25460E471</t>
  </si>
  <si>
    <t>RWUI</t>
  </si>
  <si>
    <t>CLOSED Direxion MSCI Cyclicals Over Defensives ETF</t>
  </si>
  <si>
    <t>25460E414</t>
  </si>
  <si>
    <t>RWCD</t>
  </si>
  <si>
    <t>CLOSED Direxion MSCI Defensives Over Cyclicals ETF</t>
  </si>
  <si>
    <t>25460E398</t>
  </si>
  <si>
    <t>RWDC</t>
  </si>
  <si>
    <t>CLOSED Direxion MSCI Developed Over Emerging Markets ETF</t>
  </si>
  <si>
    <t>25460E372</t>
  </si>
  <si>
    <t>RWDE</t>
  </si>
  <si>
    <t>CLOSED Direxion MSCI Emerging Over Developed Markets ETF</t>
  </si>
  <si>
    <t>25460E380</t>
  </si>
  <si>
    <t>RWED</t>
  </si>
  <si>
    <t>CLOSED Direxion PortfolioPlus Developed Markets ETF</t>
  </si>
  <si>
    <t>25460E596</t>
  </si>
  <si>
    <t>PPDM</t>
  </si>
  <si>
    <t>CLOSED Direxion PortfolioPlus S&amp;P 500 ETF</t>
  </si>
  <si>
    <t>25490K109</t>
  </si>
  <si>
    <t>PPLC</t>
  </si>
  <si>
    <t>CLOSED Direxion PortfolioPlus S&amp;P Mid Cap ETF</t>
  </si>
  <si>
    <t>25460E638</t>
  </si>
  <si>
    <t>PPMC</t>
  </si>
  <si>
    <t>CLOSED Direxion PortfolioPlus S&amp;P Small Cap ETF</t>
  </si>
  <si>
    <t>25490K208</t>
  </si>
  <si>
    <t>PPSC</t>
  </si>
  <si>
    <t>CLOSED Direxion Russell Large Over Small Cap ETF</t>
  </si>
  <si>
    <t>25460E430</t>
  </si>
  <si>
    <t>RWLS</t>
  </si>
  <si>
    <t>CLOSED Direxion Russell Small Over Large Cap ETF</t>
  </si>
  <si>
    <t>25460E422</t>
  </si>
  <si>
    <t>RWSL</t>
  </si>
  <si>
    <t>Direxion Auspice Broad Commodity Strategy</t>
  </si>
  <si>
    <t>25460E307</t>
  </si>
  <si>
    <t>COM</t>
  </si>
  <si>
    <t>Direxion Connected Consumer ETF</t>
  </si>
  <si>
    <t>25460G724</t>
  </si>
  <si>
    <t>CCON</t>
  </si>
  <si>
    <t>Direxion Daily 20+ Year Treasury Bear 3X Shares</t>
  </si>
  <si>
    <t>25460G849</t>
  </si>
  <si>
    <t>TMV</t>
  </si>
  <si>
    <t>Direxion Daily 20+ Year Treasury Bull 3X Shares</t>
  </si>
  <si>
    <t>25459W540</t>
  </si>
  <si>
    <t>TMF</t>
  </si>
  <si>
    <t>Direxion Daily 7-10 Year Treasury Bear 3X Shares</t>
  </si>
  <si>
    <t>25459W557</t>
  </si>
  <si>
    <t>TYO</t>
  </si>
  <si>
    <t>Direxion Daily 7-10 Year Treasury Bull 3X Shares</t>
  </si>
  <si>
    <t>25459W565</t>
  </si>
  <si>
    <t>TYD</t>
  </si>
  <si>
    <t>Direxion Daily Aerospace &amp; Defense Bull 3X Shares</t>
  </si>
  <si>
    <t>25460E661</t>
  </si>
  <si>
    <t>DFEN</t>
  </si>
  <si>
    <t>Direxion Daily Brazil Bull 2X Shares</t>
  </si>
  <si>
    <t>25460G708</t>
  </si>
  <si>
    <t>BRZU</t>
  </si>
  <si>
    <t>Direxion Daily Consumer Discretionary Bull 3X Shares</t>
  </si>
  <si>
    <t>25459Y801</t>
  </si>
  <si>
    <t>WANT</t>
  </si>
  <si>
    <t>Direxion Daily CSI 300 China A Share Bear 1X Shares</t>
  </si>
  <si>
    <t>25459Y116</t>
  </si>
  <si>
    <t>CHAD</t>
  </si>
  <si>
    <t>Direxion Daily CSI 300 China A Share Bull 2X Shares</t>
  </si>
  <si>
    <t>25490K869</t>
  </si>
  <si>
    <t>CHAU</t>
  </si>
  <si>
    <t>Direxion Daily Dow Jones Internet Bear 3X Shares</t>
  </si>
  <si>
    <t>25460G666</t>
  </si>
  <si>
    <t>WEBS</t>
  </si>
  <si>
    <t>Direxion Daily Emerging Markets Bear 3X Shares</t>
  </si>
  <si>
    <t>25460E547</t>
  </si>
  <si>
    <t>EDZ</t>
  </si>
  <si>
    <t>Direxion Daily Emerging Markets Bull 3X Shares</t>
  </si>
  <si>
    <t>25490K281</t>
  </si>
  <si>
    <t>EDC</t>
  </si>
  <si>
    <t>Direxion Daily Energy Bear 2X Shares</t>
  </si>
  <si>
    <t>25460E554</t>
  </si>
  <si>
    <t>ERY</t>
  </si>
  <si>
    <t>Direxion Daily Energy Bull 2X Shares</t>
  </si>
  <si>
    <t>25460G609</t>
  </si>
  <si>
    <t>ERX</t>
  </si>
  <si>
    <t>Direxion Daily Financial Bear 3X Shares</t>
  </si>
  <si>
    <t>25460E133</t>
  </si>
  <si>
    <t>FAZ</t>
  </si>
  <si>
    <t>Direxion Daily Financial Bull 3X Shares</t>
  </si>
  <si>
    <t>25459Y694</t>
  </si>
  <si>
    <t>FAS</t>
  </si>
  <si>
    <t>Direxion Daily FTSE China Bear 3X Shares</t>
  </si>
  <si>
    <t>25460E521</t>
  </si>
  <si>
    <t>YANG</t>
  </si>
  <si>
    <t>Direxion Daily FTSE China Bull 3X Shares</t>
  </si>
  <si>
    <t>25459W771</t>
  </si>
  <si>
    <t>YINN</t>
  </si>
  <si>
    <t>Direxion Daily FTSE Europe Bull 3X Shares</t>
  </si>
  <si>
    <t>25459Y280</t>
  </si>
  <si>
    <t>EURL</t>
  </si>
  <si>
    <t>Direxion Daily Gold Miners Index Bear 2X Shares</t>
  </si>
  <si>
    <t>25460G880</t>
  </si>
  <si>
    <t>DUST</t>
  </si>
  <si>
    <t>Direxion Daily Healthcare Bull 3X Shares</t>
  </si>
  <si>
    <t>25459Y876</t>
  </si>
  <si>
    <t>CURE</t>
  </si>
  <si>
    <t>Direxion Daily Homebuilders &amp; Supplies 3X Bull Shares</t>
  </si>
  <si>
    <t>25490K596</t>
  </si>
  <si>
    <t>NAIL</t>
  </si>
  <si>
    <t>Direxion Daily Industrials Bull 3X Shares</t>
  </si>
  <si>
    <t>25460E737</t>
  </si>
  <si>
    <t>DUSL</t>
  </si>
  <si>
    <t>Direxion Daily Junior Gold Miners Index Bear 2X Shares</t>
  </si>
  <si>
    <t>25460G807</t>
  </si>
  <si>
    <t>JDST</t>
  </si>
  <si>
    <t>Direxion Daily Junior Gold Miners Index Bull 2X Shares</t>
  </si>
  <si>
    <t>25460G831</t>
  </si>
  <si>
    <t>JNUG</t>
  </si>
  <si>
    <t>Direxion Daily Latin America Bull 2X Shares</t>
  </si>
  <si>
    <t>25460E273</t>
  </si>
  <si>
    <t>LBJ</t>
  </si>
  <si>
    <t>Direxion Daily Mid Cap Bull 3X Shares</t>
  </si>
  <si>
    <t>25459W730</t>
  </si>
  <si>
    <t>MIDU</t>
  </si>
  <si>
    <t>Direxion Daily MSCI Mexico Bull 3X Shares</t>
  </si>
  <si>
    <t>25460E281</t>
  </si>
  <si>
    <t>MEXX</t>
  </si>
  <si>
    <t>Direxion Daily MSCI Real Estate Bear 3X Shares</t>
  </si>
  <si>
    <t>25460E141</t>
  </si>
  <si>
    <t>DRV</t>
  </si>
  <si>
    <t>Direxion Daily MSCI Real Estate Bull 3X Shares</t>
  </si>
  <si>
    <t>25459W755</t>
  </si>
  <si>
    <t>DRN</t>
  </si>
  <si>
    <t>Direxion Daily Regional Banks Bull 3X Shares</t>
  </si>
  <si>
    <t>25460G864</t>
  </si>
  <si>
    <t>DPST</t>
  </si>
  <si>
    <t>Direxion Daily Retail Bull 3X Shares</t>
  </si>
  <si>
    <t>25460G815</t>
  </si>
  <si>
    <t>RETL</t>
  </si>
  <si>
    <t>Direxion Daily Robotics &amp; Artificial Intelligence Bull 2X Shares</t>
  </si>
  <si>
    <t>25460G823</t>
  </si>
  <si>
    <t>UBOT</t>
  </si>
  <si>
    <t>Direxion Daily Russia Bull 2X Shares</t>
  </si>
  <si>
    <t>25490K273</t>
  </si>
  <si>
    <t>RUSL</t>
  </si>
  <si>
    <t>Direxion Daily S&amp;P 500 Bear 1X Shares</t>
  </si>
  <si>
    <t>25460E869</t>
  </si>
  <si>
    <t>SPDN</t>
  </si>
  <si>
    <t>Direxion Daily S&amp;P 500 Bear 3X Shares</t>
  </si>
  <si>
    <t>25460E885</t>
  </si>
  <si>
    <t>SPXS</t>
  </si>
  <si>
    <t>Direxion Daily S&amp;P 500 Bull 2X Shares</t>
  </si>
  <si>
    <t>25459Y165</t>
  </si>
  <si>
    <t>SPUU</t>
  </si>
  <si>
    <t>Direxion Daily S&amp;P 500 Bull 3X Shares</t>
  </si>
  <si>
    <t>25459W862</t>
  </si>
  <si>
    <t>SPXL</t>
  </si>
  <si>
    <t>Direxion Daily S&amp;P 500 High Beta Bear 3X Shares</t>
  </si>
  <si>
    <t>25460E331</t>
  </si>
  <si>
    <t>HIBS</t>
  </si>
  <si>
    <t>Direxion Daily S&amp;P 500 High Beta Bull 3X Shares</t>
  </si>
  <si>
    <t>25460G856</t>
  </si>
  <si>
    <t>HIBL</t>
  </si>
  <si>
    <t>Direxion Daily S&amp;P Biotech Bear 3X Shares</t>
  </si>
  <si>
    <t>25460G716</t>
  </si>
  <si>
    <t>LABD</t>
  </si>
  <si>
    <t>Direxion Daily S&amp;P Oil &amp; Gas Exp. &amp; Prod. Bear 2X Shares</t>
  </si>
  <si>
    <t>25460G658</t>
  </si>
  <si>
    <t>DRIP</t>
  </si>
  <si>
    <t>Direxion Daily S&amp;P Oil &amp; Gas Exp. &amp; Prod. Bull 2X Shares</t>
  </si>
  <si>
    <t>25460G500</t>
  </si>
  <si>
    <t>GUSH</t>
  </si>
  <si>
    <t>Direxion Daily Semiconductor Bear 3X Shares</t>
  </si>
  <si>
    <t>25460G690</t>
  </si>
  <si>
    <t>SOXS</t>
  </si>
  <si>
    <t>Direxion Daily Semiconductor Bull 3X Shares</t>
  </si>
  <si>
    <t>25459W458</t>
  </si>
  <si>
    <t>SOXL</t>
  </si>
  <si>
    <t>Direxion Daily Small Cap Bear 3X Shares</t>
  </si>
  <si>
    <t>25460E125</t>
  </si>
  <si>
    <t>TZA</t>
  </si>
  <si>
    <t>Direxion Daily Small Cap Bull 3X Shares</t>
  </si>
  <si>
    <t>25459W847</t>
  </si>
  <si>
    <t>TNA</t>
  </si>
  <si>
    <t>Direxion Daily South Korea Bull 3X Shares</t>
  </si>
  <si>
    <t>25459Y520</t>
  </si>
  <si>
    <t>KORU</t>
  </si>
  <si>
    <t>Direxion Daily Technology Bear 3X Shares</t>
  </si>
  <si>
    <t>25460G872</t>
  </si>
  <si>
    <t>TECS</t>
  </si>
  <si>
    <t>Direxion Daily Technology Bull 3X Shares</t>
  </si>
  <si>
    <t>25459W102</t>
  </si>
  <si>
    <t>TECL</t>
  </si>
  <si>
    <t>Direxion Daily Transportation Bull 3X Shares</t>
  </si>
  <si>
    <t>25460E679</t>
  </si>
  <si>
    <t>TPOR</t>
  </si>
  <si>
    <t>Direxion Daily Utilities Bull 3X Shares</t>
  </si>
  <si>
    <t>25460E711</t>
  </si>
  <si>
    <t>UTSL</t>
  </si>
  <si>
    <t>Direxion Dynamic Hedge ETF</t>
  </si>
  <si>
    <t>25460G740</t>
  </si>
  <si>
    <t>DYHG</t>
  </si>
  <si>
    <t>Direxion Fallen Knives ETF</t>
  </si>
  <si>
    <t>25460G757</t>
  </si>
  <si>
    <t>NIFE</t>
  </si>
  <si>
    <t>Direxion Flight to Safety Strategy ETF</t>
  </si>
  <si>
    <t>25460G203</t>
  </si>
  <si>
    <t>FLYT</t>
  </si>
  <si>
    <t>Direxion High Growth ETF</t>
  </si>
  <si>
    <t>25460G765</t>
  </si>
  <si>
    <t>HIPR</t>
  </si>
  <si>
    <t>Direxion Monthly 25+ Year Treasury Bull 1.35X Fund</t>
  </si>
  <si>
    <t>254939143</t>
  </si>
  <si>
    <t>DXLTX</t>
  </si>
  <si>
    <t>Direxion Monthly 7-10 Year Treasury Bull 2X Fund</t>
  </si>
  <si>
    <t>254939689</t>
  </si>
  <si>
    <t>DXKLX</t>
  </si>
  <si>
    <t>Direxion Monthly High Yield Bull 1.2X Fund</t>
  </si>
  <si>
    <t>254939127</t>
  </si>
  <si>
    <t>DXHYX</t>
  </si>
  <si>
    <t>Direxion Monthly NASDAQ-100 Bear 1.25X Fund</t>
  </si>
  <si>
    <t>25460D200</t>
  </si>
  <si>
    <t>DXNSX</t>
  </si>
  <si>
    <t>Direxion Monthly NASDAQ-100 Bull 1.25X Fund</t>
  </si>
  <si>
    <t>25460D101</t>
  </si>
  <si>
    <t>DXNLX</t>
  </si>
  <si>
    <t>Direxion Monthly NASDAQ-100 Bull 2X Fund</t>
  </si>
  <si>
    <t>254939200</t>
  </si>
  <si>
    <t>DXQLX</t>
  </si>
  <si>
    <t>Direxion Monthly S&amp;P 500 Bull 2X Fund</t>
  </si>
  <si>
    <t>254939705</t>
  </si>
  <si>
    <t>DXSLX</t>
  </si>
  <si>
    <t>Direxion MSCI USA ESG -Leaders vs. Laggards ETF</t>
  </si>
  <si>
    <t>25460G302</t>
  </si>
  <si>
    <t>ESNG</t>
  </si>
  <si>
    <t>Direxion NASDAQ-100 Equal Weighted Index Shares</t>
  </si>
  <si>
    <t>25459Y207</t>
  </si>
  <si>
    <t>QQQE</t>
  </si>
  <si>
    <t>Direxion Russell 1000 Growth Over Value ETF</t>
  </si>
  <si>
    <t>25460E448</t>
  </si>
  <si>
    <t>RWGV</t>
  </si>
  <si>
    <t>Direxion Russell 1000 Value Over Growth ETF</t>
  </si>
  <si>
    <t>25460E455</t>
  </si>
  <si>
    <t>RWVG</t>
  </si>
  <si>
    <t>Direxion S&amp;P 500 High minus Low Quality ETF</t>
  </si>
  <si>
    <t>25460G401</t>
  </si>
  <si>
    <t>QMJ</t>
  </si>
  <si>
    <t>Direxion Work From Home ETF</t>
  </si>
  <si>
    <t>25460G773</t>
  </si>
  <si>
    <t>WFH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</si>
</sst>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000_);\(#,##0.00000\)"/>
    <numFmt numFmtId="165" formatCode="#,##0.00000000_);\(#,##0.00000000\)"/>
    <numFmt numFmtId="166" formatCode="_(* #,##0_);_(* \(#,##0\);_(* &quot;-&quot;??_);_(@_)"/>
    <numFmt numFmtId="167" formatCode="_(* #,##0.00000_);_(* \(#,##0.00000\);_(* &quot;-&quot;??_);_(@_)"/>
  </numFmts>
  <fonts count="14">
    <font>
      <sz val="10"/>
      <name val="Arial"/>
    </font>
    <font>
      <b/>
      <sz val="10"/>
      <name val="Arial"/>
      <family val="2"/>
    </font>
    <font>
      <sz val="10"/>
      <name val="Arial"/>
      <family val="2"/>
    </font>
    <font>
      <i/>
      <sz val="11"/>
      <name val="Palatino"/>
      <family val="1"/>
    </font>
    <font>
      <i/>
      <sz val="10"/>
      <name val="Arial"/>
      <family val="2"/>
    </font>
    <font>
      <strike/>
      <u/>
      <sz val="10"/>
      <name val="Arial"/>
      <family val="2"/>
    </font>
    <font>
      <b/>
      <u/>
      <sz val="14"/>
      <name val="Arial"/>
      <family val="2"/>
    </font>
    <font>
      <b/>
      <u/>
      <sz val="12"/>
      <name val="Arial"/>
      <family val="2"/>
    </font>
    <font>
      <b/>
      <u/>
      <sz val="8"/>
      <name val="Arial"/>
      <family val="2"/>
    </font>
    <font>
      <b/>
      <u/>
      <sz val="10"/>
      <name val="Arial"/>
      <family val="2"/>
    </font>
    <font>
      <b/>
      <i/>
      <u/>
      <sz val="10"/>
      <name val="Arial"/>
      <family val="2"/>
    </font>
    <font>
      <b/>
      <sz val="14"/>
      <name val="Arial"/>
      <family val="2"/>
    </font>
    <font>
      <b/>
      <i/>
      <sz val="11"/>
      <name val="Palatino"/>
      <family val="1"/>
    </font>
    <font>
      <sz val="10"/>
      <name val="Arial"/>
      <family val="2"/>
    </font>
  </fonts>
  <fills count="6">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3" fillId="0" borderId="0" applyFont="0" applyFill="0" applyBorder="0" applyAlignment="0" applyProtection="0"/>
  </cellStyleXfs>
  <cellXfs count="75">
    <xf numFmtId="0" fontId="0" fillId="0" borderId="0" xfId="0"/>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left"/>
    </xf>
    <xf numFmtId="0" fontId="11" fillId="0" borderId="0" xfId="0" applyFont="1" applyAlignment="1">
      <alignment horizontal="center"/>
    </xf>
    <xf numFmtId="0" fontId="11" fillId="0" borderId="0" xfId="0" applyFont="1" applyAlignment="1">
      <alignment horizontal="left"/>
    </xf>
    <xf numFmtId="164" fontId="0" fillId="0" borderId="0" xfId="0" applyNumberFormat="1" applyAlignment="1">
      <alignment horizontal="center"/>
    </xf>
    <xf numFmtId="164" fontId="0" fillId="0" borderId="0" xfId="0" applyNumberFormat="1"/>
    <xf numFmtId="164" fontId="0" fillId="0" borderId="0" xfId="0" applyNumberFormat="1" applyAlignment="1">
      <alignment wrapText="1"/>
    </xf>
    <xf numFmtId="164" fontId="5" fillId="0" borderId="0" xfId="0" applyNumberFormat="1" applyFont="1" applyBorder="1" applyAlignment="1">
      <alignment horizontal="center"/>
    </xf>
    <xf numFmtId="164" fontId="2" fillId="0" borderId="0" xfId="0" applyNumberFormat="1" applyFont="1" applyAlignment="1">
      <alignment horizontal="center"/>
    </xf>
    <xf numFmtId="165" fontId="0" fillId="0" borderId="0" xfId="0" applyNumberFormat="1" applyAlignment="1">
      <alignment horizontal="center"/>
    </xf>
    <xf numFmtId="165" fontId="0" fillId="0" borderId="0" xfId="0" applyNumberFormat="1"/>
    <xf numFmtId="165" fontId="2" fillId="0" borderId="0" xfId="0" applyNumberFormat="1" applyFont="1" applyAlignment="1">
      <alignment horizontal="center"/>
    </xf>
    <xf numFmtId="165" fontId="0" fillId="0" borderId="0" xfId="0" applyNumberFormat="1" applyAlignment="1">
      <alignment wrapText="1"/>
    </xf>
    <xf numFmtId="165" fontId="4" fillId="0" borderId="0" xfId="0" applyNumberFormat="1" applyFont="1" applyAlignment="1">
      <alignment horizontal="left" vertical="top" wrapText="1"/>
    </xf>
    <xf numFmtId="165" fontId="5" fillId="0" borderId="0" xfId="0" applyNumberFormat="1" applyFont="1" applyBorder="1" applyAlignment="1">
      <alignment horizontal="center"/>
    </xf>
    <xf numFmtId="166" fontId="2" fillId="2" borderId="1" xfId="1" applyNumberFormat="1" applyFont="1" applyFill="1" applyBorder="1" applyAlignment="1">
      <alignment horizontal="center"/>
    </xf>
    <xf numFmtId="166" fontId="0" fillId="0" borderId="0" xfId="1" applyNumberFormat="1" applyFont="1"/>
    <xf numFmtId="167" fontId="0" fillId="0" borderId="0" xfId="1" applyNumberFormat="1" applyFont="1"/>
    <xf numFmtId="165" fontId="0" fillId="3" borderId="0" xfId="0" applyNumberFormat="1" applyFill="1"/>
    <xf numFmtId="37" fontId="0" fillId="0" borderId="0" xfId="0" applyNumberFormat="1"/>
    <xf numFmtId="164" fontId="2" fillId="4" borderId="0" xfId="0" applyNumberFormat="1" applyFont="1" applyFill="1"/>
    <xf numFmtId="164" fontId="2" fillId="5" borderId="0" xfId="0" applyNumberFormat="1" applyFont="1" applyFill="1"/>
    <xf numFmtId="14" fontId="0" fillId="0" borderId="7" xfId="0" applyNumberFormat="1" applyFill="1" applyBorder="1" applyAlignment="1">
      <alignment horizontal="left"/>
    </xf>
    <xf numFmtId="166" fontId="0" fillId="2" borderId="1" xfId="1" applyNumberFormat="1" applyFont="1" applyFill="1" applyBorder="1" applyAlignment="1">
      <alignment horizontal="center"/>
    </xf>
    <xf numFmtId="166" fontId="0" fillId="0" borderId="0" xfId="1" applyNumberFormat="1" applyFont="1" applyAlignment="1">
      <alignment horizontal="center"/>
    </xf>
    <xf numFmtId="0" fontId="0" fillId="0" borderId="0" xfId="0" applyFont="1" applyFill="1" applyBorder="1" applyAlignment="1">
      <alignment wrapText="1"/>
    </xf>
    <xf numFmtId="0" fontId="4" fillId="0" borderId="0" xfId="0" applyFont="1" applyAlignment="1">
      <alignment horizontal="left" vertical="top" wrapText="1"/>
    </xf>
    <xf numFmtId="0" fontId="0" fillId="0" borderId="0" xfId="0" applyAlignment="1">
      <alignment wrapText="1"/>
    </xf>
    <xf numFmtId="165" fontId="1" fillId="0" borderId="0" xfId="0" applyNumberFormat="1" applyFont="1"/>
    <xf numFmtId="14" fontId="0" fillId="0" borderId="0" xfId="0" applyNumberFormat="1"/>
    <xf numFmtId="164" fontId="8" fillId="0" borderId="0" xfId="0" applyNumberFormat="1" applyFont="1" applyAlignment="1">
      <alignment horizontal="center"/>
    </xf>
    <xf numFmtId="165" fontId="8" fillId="0" borderId="0" xfId="0" applyNumberFormat="1" applyFont="1" applyAlignment="1">
      <alignment horizontal="center"/>
    </xf>
    <xf numFmtId="165" fontId="9" fillId="0" borderId="0" xfId="0" quotePrefix="1" applyNumberFormat="1" applyFont="1" applyAlignment="1">
      <alignment horizontal="center"/>
    </xf>
    <xf numFmtId="0" fontId="9" fillId="0" borderId="0" xfId="0" applyFont="1" applyAlignment="1">
      <alignment wrapText="1"/>
    </xf>
    <xf numFmtId="164" fontId="9" fillId="0" borderId="0" xfId="0" applyNumberFormat="1" applyFont="1" applyAlignment="1">
      <alignment horizontal="center"/>
    </xf>
    <xf numFmtId="165" fontId="9" fillId="0" borderId="2" xfId="0" applyNumberFormat="1" applyFont="1" applyBorder="1" applyAlignment="1">
      <alignment horizontal="center"/>
    </xf>
    <xf numFmtId="165" fontId="9" fillId="0" borderId="0" xfId="0" applyNumberFormat="1" applyFont="1" applyAlignment="1">
      <alignment horizontal="center"/>
    </xf>
    <xf numFmtId="165" fontId="9" fillId="0" borderId="6" xfId="0" quotePrefix="1" applyNumberFormat="1" applyFont="1" applyBorder="1" applyAlignment="1">
      <alignment horizontal="center"/>
    </xf>
    <xf numFmtId="165" fontId="9" fillId="0" borderId="6" xfId="0" applyNumberFormat="1" applyFont="1" applyBorder="1" applyAlignment="1">
      <alignment horizontal="center"/>
    </xf>
    <xf numFmtId="164" fontId="8" fillId="0" borderId="5" xfId="0" applyNumberFormat="1" applyFont="1" applyBorder="1" applyAlignment="1">
      <alignment horizontal="center"/>
    </xf>
    <xf numFmtId="165" fontId="8" fillId="0" borderId="5" xfId="0" applyNumberFormat="1" applyFont="1" applyBorder="1" applyAlignment="1">
      <alignment horizontal="center"/>
    </xf>
    <xf numFmtId="165" fontId="8" fillId="0" borderId="8" xfId="0" applyNumberFormat="1" applyFont="1" applyBorder="1" applyAlignment="1">
      <alignment horizontal="center"/>
    </xf>
    <xf numFmtId="165" fontId="0" fillId="0" borderId="3" xfId="0" applyNumberFormat="1" applyBorder="1"/>
    <xf numFmtId="165" fontId="8" fillId="0" borderId="3" xfId="0" applyNumberFormat="1" applyFont="1" applyBorder="1" applyAlignment="1">
      <alignment horizontal="center"/>
    </xf>
    <xf numFmtId="0" fontId="9" fillId="0" borderId="4" xfId="0" applyFont="1" applyBorder="1" applyAlignment="1">
      <alignment horizontal="center"/>
    </xf>
    <xf numFmtId="0" fontId="9" fillId="0" borderId="6" xfId="0" applyFont="1" applyBorder="1" applyAlignment="1">
      <alignment horizontal="center"/>
    </xf>
    <xf numFmtId="0" fontId="9" fillId="0" borderId="0" xfId="0" applyFont="1" applyAlignment="1">
      <alignment horizontal="center"/>
    </xf>
    <xf numFmtId="0" fontId="10" fillId="0" borderId="0" xfId="0" applyFont="1" applyAlignment="1">
      <alignment horizontal="center"/>
    </xf>
    <xf numFmtId="164" fontId="1" fillId="0" borderId="5" xfId="0" applyNumberFormat="1" applyFont="1" applyBorder="1" applyAlignment="1">
      <alignment horizontal="center"/>
    </xf>
    <xf numFmtId="165" fontId="1" fillId="0" borderId="5" xfId="0" applyNumberFormat="1" applyFont="1" applyBorder="1" applyAlignment="1">
      <alignment horizontal="center"/>
    </xf>
    <xf numFmtId="165" fontId="1" fillId="0" borderId="8" xfId="0" applyNumberFormat="1" applyFont="1" applyBorder="1" applyAlignment="1">
      <alignment horizontal="center"/>
    </xf>
    <xf numFmtId="165" fontId="9" fillId="0" borderId="8" xfId="0" applyNumberFormat="1" applyFont="1" applyBorder="1" applyAlignment="1">
      <alignment horizontal="center"/>
    </xf>
    <xf numFmtId="164" fontId="0" fillId="0" borderId="0" xfId="0" applyNumberFormat="1" applyAlignment="1">
      <alignment horizontal="left"/>
    </xf>
    <xf numFmtId="165" fontId="0" fillId="0" borderId="0" xfId="0" applyNumberFormat="1" applyAlignment="1">
      <alignment horizontal="left"/>
    </xf>
    <xf numFmtId="164" fontId="1" fillId="0" borderId="0" xfId="0" applyNumberFormat="1" applyFont="1" applyAlignment="1">
      <alignment horizontal="center"/>
    </xf>
    <xf numFmtId="165" fontId="1" fillId="0" borderId="0" xfId="0" applyNumberFormat="1" applyFont="1" applyAlignment="1">
      <alignment horizontal="center"/>
    </xf>
    <xf numFmtId="0" fontId="1" fillId="0" borderId="0" xfId="0" applyFont="1"/>
    <xf numFmtId="0" fontId="1" fillId="0" borderId="5" xfId="0" applyFont="1" applyBorder="1" applyAlignment="1">
      <alignment horizontal="center"/>
    </xf>
    <xf numFmtId="165" fontId="1" fillId="0" borderId="2" xfId="0" applyNumberFormat="1" applyFont="1" applyBorder="1" applyAlignment="1">
      <alignment horizontal="center"/>
    </xf>
    <xf numFmtId="165" fontId="9" fillId="0" borderId="3" xfId="0" applyNumberFormat="1" applyFont="1" applyBorder="1" applyAlignment="1">
      <alignment horizontal="center"/>
    </xf>
    <xf numFmtId="164" fontId="9" fillId="0" borderId="4" xfId="0" applyNumberFormat="1" applyFont="1" applyBorder="1" applyAlignment="1">
      <alignment horizontal="center"/>
    </xf>
    <xf numFmtId="164" fontId="9" fillId="0" borderId="2" xfId="0" applyNumberFormat="1" applyFont="1" applyBorder="1" applyAlignment="1">
      <alignment horizontal="center"/>
    </xf>
    <xf numFmtId="165" fontId="9" fillId="0" borderId="9" xfId="0" applyNumberFormat="1" applyFont="1" applyBorder="1" applyAlignment="1">
      <alignment horizontal="center"/>
    </xf>
    <xf numFmtId="0" fontId="1" fillId="0" borderId="2" xfId="0" applyFont="1" applyBorder="1" applyAlignment="1">
      <alignment horizontal="center"/>
    </xf>
    <xf numFmtId="0" fontId="1" fillId="0" borderId="0" xfId="0" applyFont="1" applyAlignment="1">
      <alignment horizontal="center"/>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wrapText="1"/>
    </xf>
    <xf numFmtId="0" fontId="6" fillId="0" borderId="6" xfId="0" applyFont="1" applyBorder="1" applyAlignment="1">
      <alignment horizontal="left"/>
    </xf>
    <xf numFmtId="0" fontId="0" fillId="0" borderId="6" xfId="0" applyBorder="1" applyAlignment="1"/>
    <xf numFmtId="165" fontId="8" fillId="0" borderId="10" xfId="0" applyNumberFormat="1" applyFont="1" applyBorder="1" applyAlignment="1">
      <alignment horizontal="center"/>
    </xf>
    <xf numFmtId="165" fontId="0" fillId="0" borderId="11" xfId="0" applyNumberFormat="1" applyBorder="1" applyAlignment="1">
      <alignment horizontal="center"/>
    </xf>
    <xf numFmtId="165" fontId="0" fillId="0" borderId="12" xfId="0" applyNumberForma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namedSheetView name="JSL - Wojo tracking filter" id="{E2B322F8-6A16-43AF-97B1-8EEA44D5CECD}"/>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33"/>
  <sheetViews>
    <sheetView tabSelected="1" topLeftCell="A11" zoomScale="85" zoomScaleNormal="85" workbookViewId="0">
      <pane xSplit="3" ySplit="6" topLeftCell="M17" activePane="bottomRight" state="frozen"/>
      <selection pane="topRight"/>
      <selection pane="bottomLeft" activeCell="A16" sqref="A16"/>
      <selection pane="bottomRight" activeCell="A199" sqref="A199:XFD2347"/>
    </sheetView>
  </sheetViews>
  <sheetFormatPr defaultRowHeight="13.2"/>
  <cols>
    <col min="1" max="1" width="62.44140625" customWidth="1"/>
    <col min="2" max="2" width="12.44140625" bestFit="1" customWidth="1"/>
    <col min="7" max="7" width="10.33203125" bestFit="1" customWidth="1"/>
    <col min="8" max="8" width="11.44140625" customWidth="1"/>
    <col min="9" max="9" width="10.33203125" bestFit="1" customWidth="1"/>
    <col min="10" max="10" width="14.6640625" style="12" customWidth="1"/>
    <col min="11" max="12" width="15.109375" style="12" bestFit="1" customWidth="1"/>
    <col min="13" max="13" width="19.33203125" style="12" customWidth="1"/>
    <col min="14" max="14" width="13.88671875" style="12" customWidth="1"/>
    <col min="15" max="15" width="13.88671875" style="7" customWidth="1"/>
    <col min="16" max="18" width="13.88671875" style="12" customWidth="1"/>
    <col min="19" max="19" width="13.88671875" style="7" customWidth="1"/>
    <col min="20" max="20" width="13.88671875" style="12" customWidth="1"/>
    <col min="21" max="21" width="11.88671875" style="12" customWidth="1"/>
    <col min="22" max="22" width="14.88671875" style="7" customWidth="1"/>
    <col min="23" max="23" width="12.44140625" style="12" bestFit="1" customWidth="1"/>
    <col min="24" max="24" width="12.5546875" style="12" customWidth="1"/>
    <col min="25" max="25" width="12.88671875" style="12" customWidth="1"/>
    <col min="26" max="26" width="12.44140625" style="12" customWidth="1"/>
    <col min="27" max="27" width="19.33203125" style="12" bestFit="1" customWidth="1"/>
    <col min="28" max="29" width="11.33203125" style="12" customWidth="1"/>
    <col min="30" max="30" width="12.6640625" style="12" customWidth="1"/>
    <col min="31" max="31" width="13.6640625" style="12" customWidth="1"/>
    <col min="32" max="32" width="12.6640625" style="12" customWidth="1"/>
    <col min="33" max="33" width="12" style="12" customWidth="1"/>
    <col min="34" max="34" width="13" style="7" customWidth="1"/>
    <col min="35" max="35" width="11.88671875" style="12" customWidth="1"/>
    <col min="36" max="36" width="12.6640625" style="12" customWidth="1"/>
    <col min="38" max="38" width="9.109375" style="1"/>
    <col min="39" max="39" width="9.6640625" style="1" customWidth="1"/>
    <col min="40" max="40" width="15.6640625" style="1" customWidth="1"/>
    <col min="41" max="41" width="14.5546875" style="1" customWidth="1"/>
    <col min="42" max="42" width="11.33203125" style="1" bestFit="1" customWidth="1"/>
    <col min="43" max="43" width="10.33203125" customWidth="1"/>
    <col min="47" max="47" width="11.33203125" bestFit="1" customWidth="1"/>
    <col min="49" max="61" width="13" customWidth="1"/>
  </cols>
  <sheetData>
    <row r="1" spans="1:61">
      <c r="L1" s="21">
        <f>COUNTA(M17:M219)</f>
        <v>182</v>
      </c>
      <c r="M1" s="19">
        <f>SUM(M17:M219)</f>
        <v>83.993907969999952</v>
      </c>
      <c r="O1" s="22" t="s">
        <v>0</v>
      </c>
      <c r="P1" s="23" t="s">
        <v>1</v>
      </c>
      <c r="Q1" s="20" t="s">
        <v>2</v>
      </c>
    </row>
    <row r="2" spans="1:61">
      <c r="O2" s="18">
        <v>342</v>
      </c>
      <c r="P2" s="18">
        <v>120</v>
      </c>
    </row>
    <row r="3" spans="1:61">
      <c r="A3" s="1"/>
      <c r="B3" s="1"/>
      <c r="C3" s="1"/>
      <c r="D3" s="1"/>
      <c r="E3" s="1"/>
      <c r="F3" s="1"/>
      <c r="G3" s="1"/>
      <c r="H3" s="1"/>
      <c r="I3" s="1"/>
      <c r="J3" s="11"/>
      <c r="K3" s="11"/>
      <c r="L3" s="11"/>
      <c r="M3" s="11"/>
      <c r="N3" s="11"/>
      <c r="O3" s="6"/>
      <c r="P3" s="11"/>
      <c r="Q3" s="11"/>
      <c r="R3" s="11"/>
      <c r="S3" s="6"/>
      <c r="T3" s="11"/>
      <c r="U3" s="11"/>
      <c r="V3" s="6"/>
      <c r="W3" s="11"/>
      <c r="X3" s="11"/>
      <c r="Y3" s="11"/>
      <c r="Z3" s="11"/>
      <c r="AA3" s="11"/>
      <c r="AB3" s="11"/>
      <c r="AC3" s="11"/>
      <c r="AD3" s="11"/>
    </row>
    <row r="4" spans="1:61" ht="18" thickBot="1">
      <c r="A4" s="3" t="s">
        <v>3</v>
      </c>
      <c r="B4" s="24">
        <v>44215</v>
      </c>
      <c r="C4" s="2"/>
      <c r="D4" s="5" t="s">
        <v>4</v>
      </c>
      <c r="E4" s="4"/>
      <c r="G4" s="2"/>
      <c r="H4" s="2"/>
      <c r="I4" s="2"/>
      <c r="Q4" s="13"/>
      <c r="R4" s="13"/>
      <c r="S4" s="10"/>
      <c r="T4" s="13"/>
      <c r="U4" s="13"/>
      <c r="V4" s="10"/>
      <c r="W4" s="13"/>
      <c r="X4" s="13"/>
      <c r="Y4" s="13"/>
      <c r="Z4" s="13"/>
      <c r="AA4" s="13"/>
      <c r="AB4" s="13"/>
      <c r="AC4" s="13"/>
      <c r="AD4" s="13"/>
    </row>
    <row r="5" spans="1:61">
      <c r="A5" s="1"/>
      <c r="B5" s="1"/>
      <c r="C5" s="2"/>
      <c r="D5" s="2"/>
      <c r="E5" s="2"/>
      <c r="F5" s="2"/>
      <c r="G5" s="2"/>
      <c r="H5" s="2"/>
      <c r="I5" s="2"/>
      <c r="Q5" s="13"/>
      <c r="R5" s="13"/>
      <c r="S5" s="10"/>
      <c r="T5" s="13"/>
      <c r="U5" s="13"/>
      <c r="V5" s="10"/>
      <c r="W5" s="13"/>
      <c r="X5" s="13"/>
      <c r="Y5" s="13"/>
      <c r="Z5" s="13"/>
      <c r="AA5" s="13"/>
      <c r="AB5" s="13"/>
      <c r="AC5" s="13"/>
      <c r="AD5" s="13"/>
    </row>
    <row r="6" spans="1:61">
      <c r="A6" s="67" t="s">
        <v>5</v>
      </c>
      <c r="B6" s="68"/>
      <c r="C6" s="68"/>
      <c r="D6" s="68"/>
      <c r="E6" s="68"/>
      <c r="F6" s="68"/>
      <c r="G6" s="68"/>
      <c r="H6" s="68"/>
      <c r="I6" s="68"/>
      <c r="J6" s="68"/>
      <c r="K6" s="69"/>
      <c r="L6" s="69"/>
      <c r="M6" s="69"/>
      <c r="N6" s="14"/>
      <c r="O6" s="8"/>
      <c r="P6" s="14"/>
      <c r="Q6" s="13"/>
      <c r="R6" s="13"/>
      <c r="S6" s="10"/>
      <c r="T6" s="13"/>
      <c r="U6" s="13"/>
      <c r="V6" s="10"/>
      <c r="W6" s="13"/>
      <c r="X6" s="13"/>
      <c r="Y6" s="13"/>
      <c r="Z6" s="13"/>
      <c r="AA6" s="13"/>
      <c r="AB6" s="13"/>
      <c r="AC6" s="13"/>
      <c r="AD6" s="13"/>
    </row>
    <row r="7" spans="1:61">
      <c r="A7" s="68"/>
      <c r="B7" s="68"/>
      <c r="C7" s="68"/>
      <c r="D7" s="68"/>
      <c r="E7" s="68"/>
      <c r="F7" s="68"/>
      <c r="G7" s="68"/>
      <c r="H7" s="68"/>
      <c r="I7" s="68"/>
      <c r="J7" s="68"/>
      <c r="K7" s="69"/>
      <c r="L7" s="69"/>
      <c r="M7" s="69"/>
      <c r="N7" s="14"/>
      <c r="O7" s="8"/>
      <c r="P7" s="14"/>
      <c r="Q7" s="11"/>
      <c r="R7" s="11"/>
      <c r="S7" s="6"/>
      <c r="T7" s="11"/>
      <c r="U7" s="11"/>
      <c r="V7" s="6"/>
      <c r="W7" s="11"/>
      <c r="X7" s="11"/>
      <c r="Y7" s="11"/>
      <c r="Z7" s="13"/>
      <c r="AA7" s="13"/>
      <c r="AB7" s="13"/>
      <c r="AC7" s="13"/>
      <c r="AD7" s="13"/>
    </row>
    <row r="8" spans="1:61" ht="39" customHeight="1">
      <c r="A8" s="68"/>
      <c r="B8" s="68"/>
      <c r="C8" s="68"/>
      <c r="D8" s="68"/>
      <c r="E8" s="68"/>
      <c r="F8" s="68"/>
      <c r="G8" s="68"/>
      <c r="H8" s="68"/>
      <c r="I8" s="68"/>
      <c r="J8" s="68"/>
      <c r="K8" s="69"/>
      <c r="L8" s="69"/>
      <c r="M8" s="69"/>
      <c r="N8" s="14"/>
      <c r="O8" s="8"/>
      <c r="P8" s="14"/>
      <c r="Q8" s="13"/>
      <c r="R8" s="13"/>
      <c r="S8" s="10"/>
      <c r="T8" s="13"/>
      <c r="U8" s="13"/>
      <c r="V8" s="10"/>
      <c r="W8" s="13"/>
      <c r="X8" s="13"/>
      <c r="Y8" s="13"/>
      <c r="Z8" s="13"/>
      <c r="AA8" s="13"/>
      <c r="AB8" s="13"/>
      <c r="AC8" s="13"/>
      <c r="AD8" s="13"/>
      <c r="AN8" s="27"/>
    </row>
    <row r="9" spans="1:61">
      <c r="A9" s="28"/>
      <c r="B9" s="28"/>
      <c r="C9" s="28"/>
      <c r="D9" s="28"/>
      <c r="E9" s="28"/>
      <c r="F9" s="28"/>
      <c r="G9" s="28"/>
      <c r="H9" s="28"/>
      <c r="I9" s="28"/>
      <c r="J9" s="15"/>
      <c r="K9" s="13"/>
      <c r="L9" s="13"/>
      <c r="M9" s="16"/>
      <c r="N9" s="16"/>
      <c r="O9" s="9"/>
      <c r="P9" s="16"/>
      <c r="Q9" s="13"/>
      <c r="R9" s="13"/>
      <c r="S9" s="10"/>
      <c r="T9" s="13"/>
      <c r="U9" s="13"/>
      <c r="V9" s="10"/>
      <c r="W9" s="13"/>
      <c r="X9" s="13"/>
      <c r="Y9" s="13"/>
      <c r="Z9" s="13"/>
      <c r="AA9" s="13"/>
      <c r="AB9" s="13"/>
      <c r="AC9" s="13"/>
      <c r="AD9" s="13"/>
      <c r="AN9" s="27"/>
    </row>
    <row r="10" spans="1:61" ht="17.399999999999999">
      <c r="A10" s="70" t="s">
        <v>6</v>
      </c>
      <c r="B10" s="71"/>
      <c r="C10" s="71"/>
      <c r="D10" s="71"/>
      <c r="E10" s="71"/>
      <c r="F10" s="71"/>
      <c r="G10" s="71"/>
      <c r="H10" s="71"/>
      <c r="I10" s="71"/>
      <c r="J10" s="71"/>
      <c r="K10" s="16"/>
      <c r="L10" s="16"/>
      <c r="M10" s="16"/>
      <c r="N10" s="16"/>
      <c r="O10" s="9"/>
      <c r="P10" s="16"/>
      <c r="Q10" s="16"/>
      <c r="R10" s="16"/>
      <c r="S10" s="9"/>
      <c r="T10" s="16"/>
      <c r="U10" s="16"/>
      <c r="V10" s="9"/>
      <c r="W10" s="16"/>
      <c r="X10" s="16"/>
      <c r="Y10" s="16"/>
      <c r="Z10" s="16"/>
      <c r="AA10" s="16"/>
      <c r="AB10" s="16"/>
      <c r="AC10" s="16"/>
      <c r="AD10" s="16"/>
      <c r="AN10" s="27"/>
      <c r="AW10" t="s">
        <v>7</v>
      </c>
    </row>
    <row r="11" spans="1:61" s="18" customFormat="1">
      <c r="A11" s="17">
        <v>1</v>
      </c>
      <c r="B11" s="17">
        <v>2</v>
      </c>
      <c r="C11" s="17">
        <v>3</v>
      </c>
      <c r="D11" s="17">
        <v>4</v>
      </c>
      <c r="E11" s="17">
        <f t="shared" ref="E11:M11" si="0">D11+1</f>
        <v>5</v>
      </c>
      <c r="F11" s="17">
        <f t="shared" si="0"/>
        <v>6</v>
      </c>
      <c r="G11" s="17">
        <f t="shared" si="0"/>
        <v>7</v>
      </c>
      <c r="H11" s="17">
        <f t="shared" si="0"/>
        <v>8</v>
      </c>
      <c r="I11" s="17">
        <f t="shared" si="0"/>
        <v>9</v>
      </c>
      <c r="J11" s="17">
        <f t="shared" si="0"/>
        <v>10</v>
      </c>
      <c r="K11" s="17">
        <f t="shared" si="0"/>
        <v>11</v>
      </c>
      <c r="L11" s="17">
        <f t="shared" si="0"/>
        <v>12</v>
      </c>
      <c r="M11" s="17">
        <f t="shared" si="0"/>
        <v>13</v>
      </c>
      <c r="N11" s="17">
        <v>14</v>
      </c>
      <c r="O11" s="17">
        <v>15</v>
      </c>
      <c r="P11" s="17">
        <v>16</v>
      </c>
      <c r="Q11" s="17">
        <v>17</v>
      </c>
      <c r="R11" s="17">
        <v>18</v>
      </c>
      <c r="S11" s="17">
        <v>19</v>
      </c>
      <c r="T11" s="17">
        <v>20</v>
      </c>
      <c r="U11" s="17">
        <v>21</v>
      </c>
      <c r="V11" s="17">
        <f t="shared" ref="V11:AE11" si="1">U11+1</f>
        <v>22</v>
      </c>
      <c r="W11" s="17">
        <f t="shared" si="1"/>
        <v>23</v>
      </c>
      <c r="X11" s="17">
        <f t="shared" si="1"/>
        <v>24</v>
      </c>
      <c r="Y11" s="17">
        <f t="shared" si="1"/>
        <v>25</v>
      </c>
      <c r="Z11" s="17">
        <f t="shared" si="1"/>
        <v>26</v>
      </c>
      <c r="AA11" s="17">
        <f t="shared" si="1"/>
        <v>27</v>
      </c>
      <c r="AB11" s="17">
        <f t="shared" si="1"/>
        <v>28</v>
      </c>
      <c r="AC11" s="17">
        <f t="shared" si="1"/>
        <v>29</v>
      </c>
      <c r="AD11" s="17">
        <f t="shared" si="1"/>
        <v>30</v>
      </c>
      <c r="AE11" s="17">
        <f t="shared" si="1"/>
        <v>31</v>
      </c>
      <c r="AF11" s="17">
        <v>32</v>
      </c>
      <c r="AG11" s="17">
        <v>33</v>
      </c>
      <c r="AH11" s="17">
        <v>34</v>
      </c>
      <c r="AI11" s="17">
        <v>35</v>
      </c>
      <c r="AJ11" s="17">
        <v>36</v>
      </c>
      <c r="AL11" s="26"/>
      <c r="AM11" s="26"/>
      <c r="AN11" s="27"/>
      <c r="AO11" s="26"/>
      <c r="AP11" s="26"/>
      <c r="AW11" s="25">
        <f>AV11+1</f>
        <v>1</v>
      </c>
      <c r="AX11" s="25">
        <f>AW11+1</f>
        <v>2</v>
      </c>
      <c r="AY11" s="25">
        <f>AX11+1</f>
        <v>3</v>
      </c>
      <c r="AZ11" s="25">
        <f>AY11+1</f>
        <v>4</v>
      </c>
      <c r="BA11" s="25">
        <v>14</v>
      </c>
      <c r="BB11" s="25">
        <v>15</v>
      </c>
      <c r="BC11" s="25">
        <v>16</v>
      </c>
      <c r="BD11" s="25">
        <v>17</v>
      </c>
      <c r="BE11" s="25">
        <v>18</v>
      </c>
      <c r="BF11" s="25">
        <v>19</v>
      </c>
      <c r="BG11" s="25">
        <v>20</v>
      </c>
      <c r="BH11" s="25">
        <v>21</v>
      </c>
      <c r="BI11" s="25">
        <f>BH11+1</f>
        <v>22</v>
      </c>
    </row>
    <row r="12" spans="1:61" ht="12.75" customHeight="1">
      <c r="A12" s="58"/>
      <c r="B12" s="66"/>
      <c r="C12" s="66"/>
      <c r="D12" s="66"/>
      <c r="E12" s="66"/>
      <c r="F12" s="66"/>
      <c r="G12" s="66"/>
      <c r="H12" s="66"/>
      <c r="I12" s="65"/>
      <c r="J12" s="60" t="s">
        <v>8</v>
      </c>
      <c r="K12" s="72" t="s">
        <v>9</v>
      </c>
      <c r="L12" s="73"/>
      <c r="M12" s="74"/>
      <c r="N12" s="11"/>
      <c r="O12" s="56" t="s">
        <v>10</v>
      </c>
      <c r="P12" s="11"/>
      <c r="Q12" s="64" t="s">
        <v>11</v>
      </c>
      <c r="R12" s="37"/>
      <c r="S12" s="63" t="s">
        <v>12</v>
      </c>
      <c r="T12" s="37"/>
      <c r="U12" s="37" t="s">
        <v>13</v>
      </c>
      <c r="V12" s="62" t="s">
        <v>14</v>
      </c>
      <c r="W12" s="61" t="s">
        <v>15</v>
      </c>
      <c r="X12" s="61" t="s">
        <v>16</v>
      </c>
      <c r="Y12" s="61" t="s">
        <v>17</v>
      </c>
      <c r="Z12" s="61" t="s">
        <v>18</v>
      </c>
      <c r="AA12" s="61" t="s">
        <v>19</v>
      </c>
      <c r="AB12" s="61" t="s">
        <v>20</v>
      </c>
      <c r="AC12" s="61" t="s">
        <v>21</v>
      </c>
      <c r="AD12" s="38" t="s">
        <v>22</v>
      </c>
      <c r="AE12" s="38"/>
      <c r="AF12" s="60" t="s">
        <v>23</v>
      </c>
      <c r="AG12" s="38"/>
      <c r="AH12" s="36" t="s">
        <v>24</v>
      </c>
      <c r="AJ12" s="38" t="s">
        <v>25</v>
      </c>
      <c r="AN12" s="29"/>
      <c r="AW12" s="60" t="s">
        <v>8</v>
      </c>
      <c r="AX12" s="72" t="s">
        <v>9</v>
      </c>
      <c r="AY12" s="73"/>
      <c r="AZ12" s="74"/>
      <c r="BA12" s="11"/>
      <c r="BB12" s="56" t="s">
        <v>10</v>
      </c>
      <c r="BC12" s="11"/>
      <c r="BD12" s="64" t="s">
        <v>11</v>
      </c>
      <c r="BE12" s="37"/>
      <c r="BF12" s="63" t="s">
        <v>12</v>
      </c>
      <c r="BG12" s="37"/>
      <c r="BH12" s="37" t="s">
        <v>13</v>
      </c>
      <c r="BI12" s="62" t="s">
        <v>14</v>
      </c>
    </row>
    <row r="13" spans="1:61">
      <c r="A13" s="59" t="s">
        <v>26</v>
      </c>
      <c r="B13" s="66"/>
      <c r="C13" s="66"/>
      <c r="D13" s="66"/>
      <c r="E13" s="66"/>
      <c r="F13" s="66"/>
      <c r="G13" s="58"/>
      <c r="H13" s="58"/>
      <c r="I13" s="65"/>
      <c r="J13" s="60" t="s">
        <v>27</v>
      </c>
      <c r="K13" s="57">
        <v>2019</v>
      </c>
      <c r="L13" s="52">
        <v>2021</v>
      </c>
      <c r="M13" s="52">
        <v>2020</v>
      </c>
      <c r="N13" s="55"/>
      <c r="O13" s="54"/>
      <c r="P13" s="57" t="s">
        <v>28</v>
      </c>
      <c r="Q13" s="52" t="s">
        <v>29</v>
      </c>
      <c r="R13" s="57" t="s">
        <v>30</v>
      </c>
      <c r="S13" s="56" t="s">
        <v>30</v>
      </c>
      <c r="T13" s="57" t="s">
        <v>30</v>
      </c>
      <c r="U13" s="52" t="s">
        <v>31</v>
      </c>
      <c r="V13" s="56" t="s">
        <v>32</v>
      </c>
      <c r="W13" s="57" t="s">
        <v>33</v>
      </c>
      <c r="X13" s="57"/>
      <c r="Z13" s="57"/>
      <c r="AA13" s="57" t="s">
        <v>28</v>
      </c>
      <c r="AB13" s="57" t="s">
        <v>34</v>
      </c>
      <c r="AC13" s="57" t="s">
        <v>35</v>
      </c>
      <c r="AD13" s="57" t="s">
        <v>36</v>
      </c>
      <c r="AE13" s="57" t="s">
        <v>37</v>
      </c>
      <c r="AF13" s="60" t="s">
        <v>38</v>
      </c>
      <c r="AG13" s="57" t="s">
        <v>39</v>
      </c>
      <c r="AH13" s="56" t="s">
        <v>39</v>
      </c>
      <c r="AI13" s="57" t="s">
        <v>39</v>
      </c>
      <c r="AJ13" s="57" t="s">
        <v>39</v>
      </c>
      <c r="AN13" s="29"/>
      <c r="AW13" s="60" t="s">
        <v>27</v>
      </c>
      <c r="AX13" s="57">
        <v>2019</v>
      </c>
      <c r="AY13" s="52">
        <v>2021</v>
      </c>
      <c r="AZ13" s="52">
        <v>2020</v>
      </c>
      <c r="BA13" s="55"/>
      <c r="BB13" s="54"/>
      <c r="BC13" s="57" t="s">
        <v>28</v>
      </c>
      <c r="BD13" s="52" t="s">
        <v>29</v>
      </c>
      <c r="BE13" s="57" t="s">
        <v>30</v>
      </c>
      <c r="BF13" s="56" t="s">
        <v>30</v>
      </c>
      <c r="BG13" s="57" t="s">
        <v>30</v>
      </c>
      <c r="BH13" s="52" t="s">
        <v>31</v>
      </c>
      <c r="BI13" s="56" t="s">
        <v>32</v>
      </c>
    </row>
    <row r="14" spans="1:61">
      <c r="A14" s="66" t="s">
        <v>40</v>
      </c>
      <c r="B14" s="58"/>
      <c r="C14" s="66" t="s">
        <v>41</v>
      </c>
      <c r="D14" s="66" t="s">
        <v>42</v>
      </c>
      <c r="E14" s="66" t="s">
        <v>43</v>
      </c>
      <c r="F14" s="66" t="s">
        <v>44</v>
      </c>
      <c r="G14" s="66" t="s">
        <v>45</v>
      </c>
      <c r="H14" s="66" t="s">
        <v>46</v>
      </c>
      <c r="I14" s="65" t="s">
        <v>47</v>
      </c>
      <c r="J14" s="60" t="s">
        <v>48</v>
      </c>
      <c r="K14" s="53" t="s">
        <v>49</v>
      </c>
      <c r="L14" s="53" t="s">
        <v>50</v>
      </c>
      <c r="M14" s="52" t="s">
        <v>51</v>
      </c>
      <c r="N14" s="57" t="s">
        <v>52</v>
      </c>
      <c r="O14" s="56" t="s">
        <v>53</v>
      </c>
      <c r="P14" s="57" t="s">
        <v>54</v>
      </c>
      <c r="Q14" s="52" t="s">
        <v>55</v>
      </c>
      <c r="R14" s="57" t="s">
        <v>52</v>
      </c>
      <c r="S14" s="56" t="s">
        <v>53</v>
      </c>
      <c r="T14" s="57" t="s">
        <v>56</v>
      </c>
      <c r="U14" s="51" t="s">
        <v>57</v>
      </c>
      <c r="V14" s="50" t="s">
        <v>58</v>
      </c>
      <c r="W14" s="57" t="s">
        <v>59</v>
      </c>
      <c r="X14" s="30" t="s">
        <v>60</v>
      </c>
      <c r="Y14" s="57" t="s">
        <v>61</v>
      </c>
      <c r="Z14" s="57" t="s">
        <v>62</v>
      </c>
      <c r="AA14" s="57" t="s">
        <v>54</v>
      </c>
      <c r="AB14" s="57" t="s">
        <v>63</v>
      </c>
      <c r="AC14" s="57" t="s">
        <v>63</v>
      </c>
      <c r="AD14" s="57" t="s">
        <v>64</v>
      </c>
      <c r="AE14" s="57" t="s">
        <v>65</v>
      </c>
      <c r="AF14" s="60" t="s">
        <v>66</v>
      </c>
      <c r="AG14" s="57" t="s">
        <v>52</v>
      </c>
      <c r="AH14" s="56" t="s">
        <v>53</v>
      </c>
      <c r="AI14" s="57" t="s">
        <v>56</v>
      </c>
      <c r="AJ14" s="57" t="s">
        <v>57</v>
      </c>
      <c r="AN14" s="29"/>
      <c r="AO14" s="48" t="s">
        <v>54</v>
      </c>
      <c r="AQ14" s="48" t="s">
        <v>67</v>
      </c>
      <c r="AW14" s="60" t="s">
        <v>48</v>
      </c>
      <c r="AX14" s="53" t="s">
        <v>49</v>
      </c>
      <c r="AY14" s="53" t="s">
        <v>50</v>
      </c>
      <c r="AZ14" s="52" t="s">
        <v>51</v>
      </c>
      <c r="BA14" s="57" t="s">
        <v>52</v>
      </c>
      <c r="BB14" s="56" t="s">
        <v>53</v>
      </c>
      <c r="BC14" s="57" t="s">
        <v>54</v>
      </c>
      <c r="BD14" s="52" t="s">
        <v>55</v>
      </c>
      <c r="BE14" s="57" t="s">
        <v>52</v>
      </c>
      <c r="BF14" s="56" t="s">
        <v>53</v>
      </c>
      <c r="BG14" s="57" t="s">
        <v>56</v>
      </c>
      <c r="BH14" s="51" t="s">
        <v>57</v>
      </c>
      <c r="BI14" s="50" t="s">
        <v>58</v>
      </c>
    </row>
    <row r="15" spans="1:61" ht="13.5" customHeight="1">
      <c r="A15" s="49" t="s">
        <v>68</v>
      </c>
      <c r="B15" s="47" t="s">
        <v>69</v>
      </c>
      <c r="C15" s="47" t="s">
        <v>70</v>
      </c>
      <c r="D15" s="48" t="s">
        <v>71</v>
      </c>
      <c r="E15" s="48" t="s">
        <v>72</v>
      </c>
      <c r="F15" s="48" t="s">
        <v>73</v>
      </c>
      <c r="G15" s="47" t="s">
        <v>74</v>
      </c>
      <c r="H15" s="47" t="s">
        <v>74</v>
      </c>
      <c r="I15" s="46" t="s">
        <v>74</v>
      </c>
      <c r="J15" s="45" t="s">
        <v>75</v>
      </c>
      <c r="K15" s="44"/>
      <c r="L15" s="44"/>
      <c r="M15" s="45" t="s">
        <v>76</v>
      </c>
      <c r="N15" s="38" t="s">
        <v>55</v>
      </c>
      <c r="O15" s="36" t="s">
        <v>77</v>
      </c>
      <c r="P15" s="38" t="s">
        <v>78</v>
      </c>
      <c r="Q15" s="43" t="s">
        <v>79</v>
      </c>
      <c r="R15" s="38" t="s">
        <v>55</v>
      </c>
      <c r="S15" s="36" t="s">
        <v>80</v>
      </c>
      <c r="T15" s="38" t="s">
        <v>78</v>
      </c>
      <c r="U15" s="42" t="s">
        <v>81</v>
      </c>
      <c r="V15" s="41"/>
      <c r="W15" s="40" t="s">
        <v>82</v>
      </c>
      <c r="X15" s="40" t="s">
        <v>82</v>
      </c>
      <c r="Y15" s="39" t="s">
        <v>83</v>
      </c>
      <c r="Z15" s="38" t="s">
        <v>84</v>
      </c>
      <c r="AA15" s="40" t="s">
        <v>78</v>
      </c>
      <c r="AB15" s="40" t="s">
        <v>85</v>
      </c>
      <c r="AC15" s="40" t="s">
        <v>85</v>
      </c>
      <c r="AD15" s="40" t="s">
        <v>55</v>
      </c>
      <c r="AE15" s="38" t="s">
        <v>86</v>
      </c>
      <c r="AF15" s="37" t="s">
        <v>87</v>
      </c>
      <c r="AG15" s="38" t="s">
        <v>55</v>
      </c>
      <c r="AH15" s="36" t="s">
        <v>80</v>
      </c>
      <c r="AI15" s="38" t="s">
        <v>78</v>
      </c>
      <c r="AJ15" s="38" t="s">
        <v>88</v>
      </c>
      <c r="AL15" s="48" t="s">
        <v>89</v>
      </c>
      <c r="AM15" s="48" t="s">
        <v>90</v>
      </c>
      <c r="AN15" s="35" t="s">
        <v>91</v>
      </c>
      <c r="AO15" s="48" t="s">
        <v>92</v>
      </c>
      <c r="AP15" s="48" t="s">
        <v>93</v>
      </c>
      <c r="AQ15" s="48" t="s">
        <v>94</v>
      </c>
      <c r="AW15" s="45" t="s">
        <v>75</v>
      </c>
      <c r="AX15" s="44"/>
      <c r="AY15" s="44"/>
      <c r="AZ15" s="45" t="s">
        <v>76</v>
      </c>
      <c r="BA15" s="38" t="s">
        <v>55</v>
      </c>
      <c r="BB15" s="36" t="s">
        <v>77</v>
      </c>
      <c r="BC15" s="38" t="s">
        <v>78</v>
      </c>
      <c r="BD15" s="43" t="s">
        <v>79</v>
      </c>
      <c r="BE15" s="38" t="s">
        <v>55</v>
      </c>
      <c r="BF15" s="36" t="s">
        <v>80</v>
      </c>
      <c r="BG15" s="38" t="s">
        <v>78</v>
      </c>
      <c r="BH15" s="42" t="s">
        <v>81</v>
      </c>
      <c r="BI15" s="41"/>
    </row>
    <row r="16" spans="1:61" ht="13.5" customHeight="1">
      <c r="A16" s="49"/>
      <c r="B16" s="48"/>
      <c r="C16" s="48"/>
      <c r="D16" s="48"/>
      <c r="E16" s="48"/>
      <c r="F16" s="48"/>
      <c r="G16" s="48"/>
      <c r="H16" s="48"/>
      <c r="I16" s="48"/>
      <c r="J16" s="33"/>
      <c r="M16" s="33"/>
      <c r="N16" s="38"/>
      <c r="O16" s="36"/>
      <c r="P16" s="38"/>
      <c r="Q16" s="33"/>
      <c r="R16" s="38"/>
      <c r="S16" s="36"/>
      <c r="T16" s="38"/>
      <c r="U16" s="33"/>
      <c r="V16" s="32"/>
      <c r="W16" s="38"/>
      <c r="X16" s="38"/>
      <c r="Y16" s="34"/>
      <c r="Z16" s="38"/>
      <c r="AA16" s="38"/>
      <c r="AB16" s="38"/>
      <c r="AC16" s="38"/>
      <c r="AD16" s="38"/>
      <c r="AE16" s="38"/>
      <c r="AF16" s="38"/>
      <c r="AG16" s="38"/>
      <c r="AH16" s="36"/>
      <c r="AI16" s="38"/>
      <c r="AJ16" s="38"/>
      <c r="AL16" s="48"/>
      <c r="AM16" s="48"/>
      <c r="AN16" s="29"/>
      <c r="AO16" s="48"/>
      <c r="AW16" s="33"/>
      <c r="AX16" s="12"/>
      <c r="AY16" s="12"/>
      <c r="AZ16" s="33"/>
      <c r="BA16" s="38"/>
      <c r="BB16" s="36"/>
      <c r="BC16" s="38"/>
      <c r="BD16" s="33"/>
      <c r="BE16" s="38"/>
      <c r="BF16" s="36"/>
      <c r="BG16" s="38"/>
      <c r="BH16" s="33"/>
      <c r="BI16" s="32"/>
    </row>
    <row r="17" spans="1:61">
      <c r="A17" t="s">
        <v>102</v>
      </c>
      <c r="B17" t="s">
        <v>103</v>
      </c>
      <c r="C17" t="s">
        <v>104</v>
      </c>
      <c r="G17" s="31">
        <v>43915</v>
      </c>
      <c r="H17" s="31">
        <v>43914</v>
      </c>
      <c r="I17" s="31">
        <v>43921</v>
      </c>
      <c r="J17" s="12">
        <f t="shared" ref="J17:J19" si="2">K17+L17+M17</f>
        <v>0.15458</v>
      </c>
      <c r="M17" s="12">
        <f t="shared" ref="M17:M19" si="3">N17+O17+V17+Z17+AB17+AD17</f>
        <v>0.15458</v>
      </c>
      <c r="N17" s="12">
        <v>0.15458</v>
      </c>
      <c r="Q17" s="12">
        <f t="shared" ref="Q17:Q19" si="4">N17+O17+P17</f>
        <v>0.15458</v>
      </c>
      <c r="R17" s="12">
        <f>N17*1</f>
        <v>0.15458</v>
      </c>
      <c r="U17" s="12">
        <f t="shared" ref="U17:U19" si="5">R17+S17+T17</f>
        <v>0.15458</v>
      </c>
      <c r="AE17" s="30"/>
      <c r="AJ17" s="12">
        <f t="shared" ref="AJ17:AJ19" si="6">AG17+AH17+AI17</f>
        <v>0</v>
      </c>
      <c r="AL17" s="1" t="s">
        <v>100</v>
      </c>
      <c r="AM17" s="1" t="s">
        <v>101</v>
      </c>
      <c r="AN17" s="29" t="s">
        <v>98</v>
      </c>
      <c r="AW17" s="12">
        <f t="shared" ref="AW17:AW29" si="7">AX17+AY17+AZ17</f>
        <v>0.15458</v>
      </c>
      <c r="AX17" s="12"/>
      <c r="AY17" s="12"/>
      <c r="AZ17" s="12">
        <f t="shared" ref="AZ17:AZ29" si="8">BA17+BB17+BI17+BM17+BO17+BQ17</f>
        <v>0.15458</v>
      </c>
      <c r="BA17" s="12">
        <v>0.15458</v>
      </c>
      <c r="BB17" s="7"/>
      <c r="BC17" s="12"/>
      <c r="BD17" s="12">
        <f t="shared" ref="BD17:BD29" si="9">BA17+BB17+BC17</f>
        <v>0.15458</v>
      </c>
      <c r="BE17" s="12"/>
      <c r="BF17" s="7"/>
      <c r="BG17" s="12"/>
      <c r="BH17" s="12">
        <f t="shared" ref="BH17:BH29" si="10">BE17+BF17+BG17</f>
        <v>0</v>
      </c>
      <c r="BI17" s="7"/>
    </row>
    <row r="18" spans="1:61">
      <c r="A18" t="s">
        <v>102</v>
      </c>
      <c r="B18" t="s">
        <v>103</v>
      </c>
      <c r="C18" t="s">
        <v>104</v>
      </c>
      <c r="G18" s="31">
        <v>44006</v>
      </c>
      <c r="H18" s="31">
        <v>44005</v>
      </c>
      <c r="I18" s="31">
        <v>44012</v>
      </c>
      <c r="J18" s="12">
        <f t="shared" si="2"/>
        <v>0.11532000000000002</v>
      </c>
      <c r="M18" s="12">
        <f t="shared" si="3"/>
        <v>0.11532000000000002</v>
      </c>
      <c r="N18" s="12">
        <v>0.11532000000000002</v>
      </c>
      <c r="Q18" s="12">
        <f t="shared" si="4"/>
        <v>0.11532000000000002</v>
      </c>
      <c r="R18" s="12">
        <f t="shared" ref="R18:R19" si="11">N18*1</f>
        <v>0.11532000000000002</v>
      </c>
      <c r="U18" s="12">
        <f t="shared" si="5"/>
        <v>0.11532000000000002</v>
      </c>
      <c r="AE18" s="30"/>
      <c r="AJ18" s="12">
        <f t="shared" si="6"/>
        <v>0</v>
      </c>
      <c r="AL18" s="1" t="s">
        <v>100</v>
      </c>
      <c r="AM18" s="1" t="s">
        <v>101</v>
      </c>
      <c r="AN18" s="29" t="s">
        <v>98</v>
      </c>
      <c r="AW18" s="12">
        <f t="shared" si="7"/>
        <v>0.11532000000000002</v>
      </c>
      <c r="AX18" s="12"/>
      <c r="AY18" s="12"/>
      <c r="AZ18" s="12">
        <f t="shared" si="8"/>
        <v>0.11532000000000002</v>
      </c>
      <c r="BA18" s="12">
        <v>0.11532000000000002</v>
      </c>
      <c r="BB18" s="7"/>
      <c r="BC18" s="12"/>
      <c r="BD18" s="12">
        <f t="shared" si="9"/>
        <v>0.11532000000000002</v>
      </c>
      <c r="BE18" s="12"/>
      <c r="BF18" s="7"/>
      <c r="BG18" s="12"/>
      <c r="BH18" s="12">
        <f t="shared" si="10"/>
        <v>0</v>
      </c>
      <c r="BI18" s="7"/>
    </row>
    <row r="19" spans="1:61">
      <c r="A19" t="s">
        <v>102</v>
      </c>
      <c r="B19" t="s">
        <v>103</v>
      </c>
      <c r="C19" t="s">
        <v>104</v>
      </c>
      <c r="G19" s="31">
        <v>44097</v>
      </c>
      <c r="H19" s="31">
        <v>44096</v>
      </c>
      <c r="I19" s="31">
        <v>44103</v>
      </c>
      <c r="J19" s="12">
        <f t="shared" si="2"/>
        <v>9.1510000000000022E-2</v>
      </c>
      <c r="M19" s="12">
        <f t="shared" si="3"/>
        <v>9.1510000000000022E-2</v>
      </c>
      <c r="N19" s="12">
        <v>9.1510000000000022E-2</v>
      </c>
      <c r="Q19" s="12">
        <f t="shared" si="4"/>
        <v>9.1510000000000022E-2</v>
      </c>
      <c r="R19" s="12">
        <f t="shared" si="11"/>
        <v>9.1510000000000022E-2</v>
      </c>
      <c r="U19" s="12">
        <f t="shared" si="5"/>
        <v>9.1510000000000022E-2</v>
      </c>
      <c r="AE19" s="30"/>
      <c r="AJ19" s="12">
        <f t="shared" si="6"/>
        <v>0</v>
      </c>
      <c r="AL19" s="1" t="s">
        <v>100</v>
      </c>
      <c r="AM19" s="1" t="s">
        <v>101</v>
      </c>
      <c r="AN19" s="29" t="s">
        <v>98</v>
      </c>
      <c r="AW19" s="12">
        <f t="shared" si="7"/>
        <v>9.1510000000000022E-2</v>
      </c>
      <c r="AX19" s="12"/>
      <c r="AY19" s="12"/>
      <c r="AZ19" s="12">
        <f t="shared" si="8"/>
        <v>9.1510000000000022E-2</v>
      </c>
      <c r="BA19" s="12">
        <v>9.1510000000000022E-2</v>
      </c>
      <c r="BB19" s="7"/>
      <c r="BC19" s="12"/>
      <c r="BD19" s="12">
        <f t="shared" si="9"/>
        <v>9.1510000000000022E-2</v>
      </c>
      <c r="BE19" s="12"/>
      <c r="BF19" s="7"/>
      <c r="BG19" s="12"/>
      <c r="BH19" s="12">
        <f t="shared" si="10"/>
        <v>0</v>
      </c>
      <c r="BI19" s="7"/>
    </row>
    <row r="20" spans="1:61">
      <c r="A20" t="s">
        <v>105</v>
      </c>
      <c r="B20" t="s">
        <v>106</v>
      </c>
      <c r="C20" t="s">
        <v>107</v>
      </c>
      <c r="E20" t="s">
        <v>108</v>
      </c>
      <c r="G20" s="31">
        <v>43915</v>
      </c>
      <c r="H20" s="31">
        <v>43914</v>
      </c>
      <c r="I20" s="31">
        <v>43921</v>
      </c>
      <c r="J20" s="12">
        <f t="shared" ref="J20:J46" si="12">K20+L20+M20</f>
        <v>8.2289999999999988E-2</v>
      </c>
      <c r="M20" s="12">
        <f t="shared" ref="M20:M46" si="13">N20+O20+V20+Z20+AB20+AD20</f>
        <v>8.2289999999999988E-2</v>
      </c>
      <c r="N20" s="12">
        <f>0.08229-Z20</f>
        <v>0</v>
      </c>
      <c r="Q20" s="12">
        <f t="shared" ref="Q20:Q46" si="14">N20+O20+P20</f>
        <v>0</v>
      </c>
      <c r="U20" s="12">
        <f t="shared" ref="U20:U46" si="15">R20+S20+T20</f>
        <v>0</v>
      </c>
      <c r="Z20" s="12">
        <v>8.2289999999999988E-2</v>
      </c>
      <c r="AE20" s="30"/>
      <c r="AJ20" s="12">
        <f t="shared" ref="AJ20:AJ46" si="16">AG20+AH20+AI20</f>
        <v>0</v>
      </c>
      <c r="AL20" s="1" t="s">
        <v>100</v>
      </c>
      <c r="AM20" s="1" t="s">
        <v>101</v>
      </c>
      <c r="AN20" s="29" t="s">
        <v>98</v>
      </c>
      <c r="AW20" s="12">
        <f t="shared" si="7"/>
        <v>8.2289999999999988E-2</v>
      </c>
      <c r="AX20" s="12"/>
      <c r="AY20" s="12"/>
      <c r="AZ20" s="12">
        <f t="shared" si="8"/>
        <v>8.2289999999999988E-2</v>
      </c>
      <c r="BA20" s="12">
        <v>8.2289999999999988E-2</v>
      </c>
      <c r="BB20" s="7"/>
      <c r="BC20" s="12"/>
      <c r="BD20" s="12">
        <f t="shared" si="9"/>
        <v>8.2289999999999988E-2</v>
      </c>
      <c r="BE20" s="12"/>
      <c r="BF20" s="7"/>
      <c r="BG20" s="12"/>
      <c r="BH20" s="12">
        <f t="shared" si="10"/>
        <v>0</v>
      </c>
      <c r="BI20" s="7"/>
    </row>
    <row r="21" spans="1:61">
      <c r="A21" t="s">
        <v>109</v>
      </c>
      <c r="B21" t="s">
        <v>110</v>
      </c>
      <c r="C21" t="s">
        <v>111</v>
      </c>
      <c r="E21" t="s">
        <v>108</v>
      </c>
      <c r="G21" s="31">
        <v>43915</v>
      </c>
      <c r="H21" s="31">
        <v>43914</v>
      </c>
      <c r="I21" s="31">
        <v>43921</v>
      </c>
      <c r="J21" s="12">
        <f t="shared" si="12"/>
        <v>7.7899999999999992E-3</v>
      </c>
      <c r="M21" s="12">
        <f t="shared" si="13"/>
        <v>7.7899999999999992E-3</v>
      </c>
      <c r="N21" s="12">
        <f>0.00779-Z21</f>
        <v>0</v>
      </c>
      <c r="Q21" s="12">
        <f t="shared" si="14"/>
        <v>0</v>
      </c>
      <c r="U21" s="12">
        <f t="shared" si="15"/>
        <v>0</v>
      </c>
      <c r="Z21" s="12">
        <v>7.7899999999999992E-3</v>
      </c>
      <c r="AE21" s="30"/>
      <c r="AJ21" s="12">
        <f t="shared" si="16"/>
        <v>0</v>
      </c>
      <c r="AL21" s="1" t="s">
        <v>100</v>
      </c>
      <c r="AM21" s="1" t="s">
        <v>101</v>
      </c>
      <c r="AN21" s="29" t="s">
        <v>98</v>
      </c>
      <c r="AW21" s="12">
        <f t="shared" si="7"/>
        <v>7.7899999999999992E-3</v>
      </c>
      <c r="AX21" s="12"/>
      <c r="AY21" s="12"/>
      <c r="AZ21" s="12">
        <f t="shared" si="8"/>
        <v>7.7899999999999992E-3</v>
      </c>
      <c r="BA21" s="12">
        <v>7.7899999999999992E-3</v>
      </c>
      <c r="BB21" s="7"/>
      <c r="BC21" s="12"/>
      <c r="BD21" s="12">
        <f t="shared" si="9"/>
        <v>7.7899999999999992E-3</v>
      </c>
      <c r="BE21" s="12"/>
      <c r="BF21" s="7"/>
      <c r="BG21" s="12"/>
      <c r="BH21" s="12">
        <f t="shared" si="10"/>
        <v>0</v>
      </c>
      <c r="BI21" s="7"/>
    </row>
    <row r="22" spans="1:61">
      <c r="A22" t="s">
        <v>112</v>
      </c>
      <c r="B22" t="s">
        <v>113</v>
      </c>
      <c r="C22" t="s">
        <v>114</v>
      </c>
      <c r="E22" t="s">
        <v>108</v>
      </c>
      <c r="G22" s="31">
        <v>43915</v>
      </c>
      <c r="H22" s="31">
        <v>43914</v>
      </c>
      <c r="I22" s="31">
        <v>43921</v>
      </c>
      <c r="J22" s="12">
        <f t="shared" si="12"/>
        <v>5.1600000000000005E-3</v>
      </c>
      <c r="M22" s="12">
        <f t="shared" si="13"/>
        <v>5.1600000000000005E-3</v>
      </c>
      <c r="N22" s="12">
        <f>0.00516-Z22</f>
        <v>0</v>
      </c>
      <c r="Q22" s="12">
        <f t="shared" si="14"/>
        <v>0</v>
      </c>
      <c r="U22" s="12">
        <f t="shared" si="15"/>
        <v>0</v>
      </c>
      <c r="Z22" s="12">
        <v>5.1600000000000005E-3</v>
      </c>
      <c r="AE22" s="30"/>
      <c r="AJ22" s="12">
        <f t="shared" si="16"/>
        <v>0</v>
      </c>
      <c r="AL22" s="1" t="s">
        <v>100</v>
      </c>
      <c r="AM22" s="1" t="s">
        <v>101</v>
      </c>
      <c r="AN22" s="29" t="s">
        <v>98</v>
      </c>
      <c r="AW22" s="12">
        <f t="shared" si="7"/>
        <v>5.1600000000000005E-3</v>
      </c>
      <c r="AX22" s="12"/>
      <c r="AY22" s="12"/>
      <c r="AZ22" s="12">
        <f t="shared" si="8"/>
        <v>5.1600000000000005E-3</v>
      </c>
      <c r="BA22" s="12">
        <v>5.1600000000000005E-3</v>
      </c>
      <c r="BB22" s="7"/>
      <c r="BC22" s="12"/>
      <c r="BD22" s="12">
        <f t="shared" si="9"/>
        <v>5.1600000000000005E-3</v>
      </c>
      <c r="BE22" s="12"/>
      <c r="BF22" s="7"/>
      <c r="BG22" s="12"/>
      <c r="BH22" s="12">
        <f t="shared" si="10"/>
        <v>0</v>
      </c>
      <c r="BI22" s="7"/>
    </row>
    <row r="23" spans="1:61">
      <c r="A23" t="s">
        <v>115</v>
      </c>
      <c r="B23" t="s">
        <v>116</v>
      </c>
      <c r="C23" t="s">
        <v>117</v>
      </c>
      <c r="E23" t="s">
        <v>108</v>
      </c>
      <c r="G23" s="31">
        <v>43915</v>
      </c>
      <c r="H23" s="31">
        <v>43914</v>
      </c>
      <c r="I23" s="31">
        <v>43921</v>
      </c>
      <c r="J23" s="12">
        <f t="shared" si="12"/>
        <v>1.3710000000000002E-2</v>
      </c>
      <c r="M23" s="12">
        <f t="shared" si="13"/>
        <v>1.3710000000000002E-2</v>
      </c>
      <c r="N23" s="12">
        <f>0.01371-Z23</f>
        <v>0</v>
      </c>
      <c r="Q23" s="12">
        <f t="shared" si="14"/>
        <v>0</v>
      </c>
      <c r="U23" s="12">
        <f t="shared" si="15"/>
        <v>0</v>
      </c>
      <c r="Z23" s="12">
        <v>1.3710000000000002E-2</v>
      </c>
      <c r="AE23" s="30"/>
      <c r="AJ23" s="12">
        <f t="shared" si="16"/>
        <v>0</v>
      </c>
      <c r="AL23" s="1" t="s">
        <v>100</v>
      </c>
      <c r="AM23" s="1" t="s">
        <v>101</v>
      </c>
      <c r="AN23" s="29" t="s">
        <v>98</v>
      </c>
      <c r="AW23" s="12">
        <f t="shared" si="7"/>
        <v>1.3710000000000002E-2</v>
      </c>
      <c r="AX23" s="12"/>
      <c r="AY23" s="12"/>
      <c r="AZ23" s="12">
        <f t="shared" si="8"/>
        <v>1.3710000000000002E-2</v>
      </c>
      <c r="BA23" s="12">
        <v>1.3710000000000002E-2</v>
      </c>
      <c r="BB23" s="7"/>
      <c r="BC23" s="12"/>
      <c r="BD23" s="12">
        <f t="shared" si="9"/>
        <v>1.3710000000000002E-2</v>
      </c>
      <c r="BE23" s="12"/>
      <c r="BF23" s="7"/>
      <c r="BG23" s="12"/>
      <c r="BH23" s="12">
        <f t="shared" si="10"/>
        <v>0</v>
      </c>
      <c r="BI23" s="7"/>
    </row>
    <row r="24" spans="1:61">
      <c r="A24" t="s">
        <v>118</v>
      </c>
      <c r="B24" t="s">
        <v>119</v>
      </c>
      <c r="C24" t="s">
        <v>120</v>
      </c>
      <c r="G24" s="31">
        <v>43915</v>
      </c>
      <c r="H24" s="31">
        <v>43914</v>
      </c>
      <c r="I24" s="31">
        <v>43921</v>
      </c>
      <c r="J24" s="12">
        <f t="shared" si="12"/>
        <v>7.5010000000000007E-2</v>
      </c>
      <c r="M24" s="12">
        <f t="shared" si="13"/>
        <v>7.5010000000000007E-2</v>
      </c>
      <c r="N24" s="12">
        <v>7.5010000000000007E-2</v>
      </c>
      <c r="Q24" s="12">
        <f t="shared" si="14"/>
        <v>7.5010000000000007E-2</v>
      </c>
      <c r="R24" s="12">
        <f>N24*0.5922</f>
        <v>4.4420922000000002E-2</v>
      </c>
      <c r="U24" s="12">
        <f t="shared" si="15"/>
        <v>4.4420922000000002E-2</v>
      </c>
      <c r="AE24" s="30"/>
      <c r="AJ24" s="12">
        <f t="shared" si="16"/>
        <v>0</v>
      </c>
      <c r="AL24" s="1" t="s">
        <v>100</v>
      </c>
      <c r="AM24" s="1" t="s">
        <v>101</v>
      </c>
      <c r="AN24" s="29" t="s">
        <v>98</v>
      </c>
      <c r="AW24" s="12">
        <f t="shared" si="7"/>
        <v>7.5010000000000007E-2</v>
      </c>
      <c r="AX24" s="12"/>
      <c r="AY24" s="12"/>
      <c r="AZ24" s="12">
        <f t="shared" si="8"/>
        <v>7.5010000000000007E-2</v>
      </c>
      <c r="BA24" s="12">
        <v>7.5010000000000007E-2</v>
      </c>
      <c r="BB24" s="7"/>
      <c r="BC24" s="12"/>
      <c r="BD24" s="12">
        <f t="shared" si="9"/>
        <v>7.5010000000000007E-2</v>
      </c>
      <c r="BE24" s="12"/>
      <c r="BF24" s="7"/>
      <c r="BG24" s="12"/>
      <c r="BH24" s="12">
        <f t="shared" si="10"/>
        <v>0</v>
      </c>
      <c r="BI24" s="7"/>
    </row>
    <row r="25" spans="1:61">
      <c r="A25" t="s">
        <v>118</v>
      </c>
      <c r="B25" t="s">
        <v>119</v>
      </c>
      <c r="C25" t="s">
        <v>120</v>
      </c>
      <c r="G25" s="31">
        <v>44006</v>
      </c>
      <c r="H25" s="31">
        <v>44005</v>
      </c>
      <c r="I25" s="31">
        <v>44012</v>
      </c>
      <c r="J25" s="12">
        <f t="shared" si="12"/>
        <v>5.3249999999999992E-2</v>
      </c>
      <c r="M25" s="12">
        <f t="shared" si="13"/>
        <v>5.3249999999999992E-2</v>
      </c>
      <c r="N25" s="12">
        <v>5.3249999999999992E-2</v>
      </c>
      <c r="Q25" s="12">
        <f t="shared" si="14"/>
        <v>5.3249999999999992E-2</v>
      </c>
      <c r="R25" s="12">
        <f>N25*0.5922</f>
        <v>3.153464999999999E-2</v>
      </c>
      <c r="U25" s="12">
        <f t="shared" si="15"/>
        <v>3.153464999999999E-2</v>
      </c>
      <c r="AE25" s="30"/>
      <c r="AJ25" s="12">
        <f t="shared" si="16"/>
        <v>0</v>
      </c>
      <c r="AL25" s="1" t="s">
        <v>100</v>
      </c>
      <c r="AM25" s="1" t="s">
        <v>101</v>
      </c>
      <c r="AN25" s="29" t="s">
        <v>98</v>
      </c>
      <c r="AW25" s="12">
        <f t="shared" si="7"/>
        <v>5.3249999999999992E-2</v>
      </c>
      <c r="AX25" s="12"/>
      <c r="AY25" s="12"/>
      <c r="AZ25" s="12">
        <f t="shared" si="8"/>
        <v>5.3249999999999992E-2</v>
      </c>
      <c r="BA25" s="12">
        <v>5.3249999999999992E-2</v>
      </c>
      <c r="BB25" s="7"/>
      <c r="BC25" s="12"/>
      <c r="BD25" s="12">
        <f t="shared" si="9"/>
        <v>5.3249999999999992E-2</v>
      </c>
      <c r="BE25" s="12"/>
      <c r="BF25" s="7"/>
      <c r="BG25" s="12"/>
      <c r="BH25" s="12">
        <f t="shared" si="10"/>
        <v>0</v>
      </c>
      <c r="BI25" s="7"/>
    </row>
    <row r="26" spans="1:61">
      <c r="A26" t="s">
        <v>118</v>
      </c>
      <c r="B26" t="s">
        <v>119</v>
      </c>
      <c r="C26" t="s">
        <v>120</v>
      </c>
      <c r="G26" s="31">
        <v>44097</v>
      </c>
      <c r="H26" s="31">
        <v>44096</v>
      </c>
      <c r="I26" s="31">
        <v>44103</v>
      </c>
      <c r="J26" s="12">
        <f t="shared" si="12"/>
        <v>5.3060000000000003E-2</v>
      </c>
      <c r="M26" s="12">
        <f t="shared" si="13"/>
        <v>5.3060000000000003E-2</v>
      </c>
      <c r="N26" s="12">
        <v>5.3060000000000003E-2</v>
      </c>
      <c r="Q26" s="12">
        <f t="shared" si="14"/>
        <v>5.3060000000000003E-2</v>
      </c>
      <c r="R26" s="12">
        <f>N26*0.5922</f>
        <v>3.1422131999999998E-2</v>
      </c>
      <c r="U26" s="12">
        <f t="shared" si="15"/>
        <v>3.1422131999999998E-2</v>
      </c>
      <c r="AE26" s="30"/>
      <c r="AJ26" s="12">
        <f t="shared" si="16"/>
        <v>0</v>
      </c>
      <c r="AL26" s="1" t="s">
        <v>100</v>
      </c>
      <c r="AM26" s="1" t="s">
        <v>101</v>
      </c>
      <c r="AN26" s="29" t="s">
        <v>98</v>
      </c>
      <c r="AW26" s="12">
        <f t="shared" si="7"/>
        <v>5.3060000000000003E-2</v>
      </c>
      <c r="AX26" s="12"/>
      <c r="AY26" s="12"/>
      <c r="AZ26" s="12">
        <f t="shared" si="8"/>
        <v>5.3060000000000003E-2</v>
      </c>
      <c r="BA26" s="12">
        <v>5.3060000000000003E-2</v>
      </c>
      <c r="BB26" s="7"/>
      <c r="BC26" s="12"/>
      <c r="BD26" s="12">
        <f t="shared" si="9"/>
        <v>5.3060000000000003E-2</v>
      </c>
      <c r="BE26" s="12"/>
      <c r="BF26" s="7"/>
      <c r="BG26" s="12"/>
      <c r="BH26" s="12">
        <f t="shared" si="10"/>
        <v>0</v>
      </c>
      <c r="BI26" s="7"/>
    </row>
    <row r="27" spans="1:61">
      <c r="A27" t="s">
        <v>121</v>
      </c>
      <c r="B27" t="s">
        <v>122</v>
      </c>
      <c r="C27" t="s">
        <v>123</v>
      </c>
      <c r="E27" t="s">
        <v>108</v>
      </c>
      <c r="G27" s="31">
        <v>44006</v>
      </c>
      <c r="H27" s="31">
        <v>44005</v>
      </c>
      <c r="I27" s="31">
        <v>44012</v>
      </c>
      <c r="J27" s="12">
        <f t="shared" si="12"/>
        <v>0.10731</v>
      </c>
      <c r="M27" s="12">
        <f t="shared" si="13"/>
        <v>0.10731</v>
      </c>
      <c r="N27" s="12">
        <f>0.10731-Z27</f>
        <v>0</v>
      </c>
      <c r="Q27" s="12">
        <f t="shared" si="14"/>
        <v>0</v>
      </c>
      <c r="U27" s="12">
        <f t="shared" si="15"/>
        <v>0</v>
      </c>
      <c r="Z27" s="12">
        <v>0.10731</v>
      </c>
      <c r="AE27" s="30"/>
      <c r="AJ27" s="12">
        <f t="shared" si="16"/>
        <v>0</v>
      </c>
      <c r="AL27" s="1" t="s">
        <v>100</v>
      </c>
      <c r="AM27" s="1" t="s">
        <v>101</v>
      </c>
      <c r="AN27" s="29" t="s">
        <v>98</v>
      </c>
      <c r="AW27" s="12">
        <f t="shared" si="7"/>
        <v>0.10731</v>
      </c>
      <c r="AX27" s="12"/>
      <c r="AY27" s="12"/>
      <c r="AZ27" s="12">
        <f t="shared" si="8"/>
        <v>0.10731</v>
      </c>
      <c r="BA27" s="12">
        <v>0.10731</v>
      </c>
      <c r="BB27" s="7"/>
      <c r="BC27" s="12"/>
      <c r="BD27" s="12">
        <f t="shared" si="9"/>
        <v>0.10731</v>
      </c>
      <c r="BE27" s="12"/>
      <c r="BF27" s="7"/>
      <c r="BG27" s="12"/>
      <c r="BH27" s="12">
        <f t="shared" si="10"/>
        <v>0</v>
      </c>
      <c r="BI27" s="7"/>
    </row>
    <row r="28" spans="1:61">
      <c r="A28" t="s">
        <v>124</v>
      </c>
      <c r="B28" t="s">
        <v>125</v>
      </c>
      <c r="C28" t="s">
        <v>126</v>
      </c>
      <c r="E28" t="s">
        <v>108</v>
      </c>
      <c r="G28" s="31">
        <v>43915</v>
      </c>
      <c r="H28" s="31">
        <v>43914</v>
      </c>
      <c r="I28" s="31">
        <v>43921</v>
      </c>
      <c r="J28" s="12">
        <f t="shared" si="12"/>
        <v>0.2258</v>
      </c>
      <c r="M28" s="12">
        <f t="shared" si="13"/>
        <v>0.2258</v>
      </c>
      <c r="N28" s="12">
        <f>0.2258-Z28</f>
        <v>0.14613776000000001</v>
      </c>
      <c r="Q28" s="12">
        <f t="shared" si="14"/>
        <v>0.14613776000000001</v>
      </c>
      <c r="R28" s="12">
        <f>N28*1</f>
        <v>0.14613776000000001</v>
      </c>
      <c r="U28" s="12">
        <f t="shared" si="15"/>
        <v>0.14613776000000001</v>
      </c>
      <c r="Z28" s="12">
        <v>7.9662239999999995E-2</v>
      </c>
      <c r="AE28" s="30"/>
      <c r="AJ28" s="12">
        <f t="shared" si="16"/>
        <v>0</v>
      </c>
      <c r="AL28" s="1" t="s">
        <v>100</v>
      </c>
      <c r="AM28" s="1" t="s">
        <v>101</v>
      </c>
      <c r="AN28" s="29" t="s">
        <v>98</v>
      </c>
      <c r="AW28" s="12">
        <f t="shared" si="7"/>
        <v>0.22579999999999997</v>
      </c>
      <c r="AX28" s="12"/>
      <c r="AY28" s="12"/>
      <c r="AZ28" s="12">
        <f t="shared" si="8"/>
        <v>0.22579999999999997</v>
      </c>
      <c r="BA28" s="12">
        <v>0.22579999999999997</v>
      </c>
      <c r="BB28" s="7"/>
      <c r="BC28" s="12"/>
      <c r="BD28" s="12">
        <f t="shared" si="9"/>
        <v>0.22579999999999997</v>
      </c>
      <c r="BE28" s="12"/>
      <c r="BF28" s="7"/>
      <c r="BG28" s="12"/>
      <c r="BH28" s="12">
        <f t="shared" si="10"/>
        <v>0</v>
      </c>
      <c r="BI28" s="7"/>
    </row>
    <row r="29" spans="1:61">
      <c r="A29" t="s">
        <v>124</v>
      </c>
      <c r="B29" t="s">
        <v>125</v>
      </c>
      <c r="C29" t="s">
        <v>126</v>
      </c>
      <c r="E29" t="s">
        <v>108</v>
      </c>
      <c r="G29" s="31">
        <v>44006</v>
      </c>
      <c r="H29" s="31">
        <v>44005</v>
      </c>
      <c r="I29" s="31">
        <v>44012</v>
      </c>
      <c r="J29" s="12">
        <f t="shared" si="12"/>
        <v>8.0420000000000005E-2</v>
      </c>
      <c r="M29" s="12">
        <f t="shared" si="13"/>
        <v>8.0420000000000005E-2</v>
      </c>
      <c r="N29" s="12">
        <f>0.08042-Z29</f>
        <v>5.2047824000000006E-2</v>
      </c>
      <c r="Q29" s="12">
        <f t="shared" si="14"/>
        <v>5.2047824000000006E-2</v>
      </c>
      <c r="R29" s="12">
        <f>N29*1</f>
        <v>5.2047824000000006E-2</v>
      </c>
      <c r="U29" s="12">
        <f t="shared" si="15"/>
        <v>5.2047824000000006E-2</v>
      </c>
      <c r="Z29" s="12">
        <v>2.8372175999999995E-2</v>
      </c>
      <c r="AE29" s="30"/>
      <c r="AJ29" s="12">
        <f t="shared" si="16"/>
        <v>0</v>
      </c>
      <c r="AL29" s="1" t="s">
        <v>100</v>
      </c>
      <c r="AM29" s="1" t="s">
        <v>101</v>
      </c>
      <c r="AN29" s="29" t="s">
        <v>98</v>
      </c>
      <c r="AW29" s="12">
        <f t="shared" si="7"/>
        <v>8.0419999999999991E-2</v>
      </c>
      <c r="AX29" s="12"/>
      <c r="AY29" s="12"/>
      <c r="AZ29" s="12">
        <f t="shared" si="8"/>
        <v>8.0419999999999991E-2</v>
      </c>
      <c r="BA29" s="12">
        <v>8.0419999999999991E-2</v>
      </c>
      <c r="BB29" s="7"/>
      <c r="BC29" s="12"/>
      <c r="BD29" s="12">
        <f t="shared" si="9"/>
        <v>8.0419999999999991E-2</v>
      </c>
      <c r="BE29" s="12"/>
      <c r="BF29" s="7"/>
      <c r="BG29" s="12"/>
      <c r="BH29" s="12">
        <f t="shared" si="10"/>
        <v>0</v>
      </c>
      <c r="BI29" s="7"/>
    </row>
    <row r="30" spans="1:61">
      <c r="A30" t="s">
        <v>127</v>
      </c>
      <c r="B30" t="s">
        <v>128</v>
      </c>
      <c r="C30" t="s">
        <v>129</v>
      </c>
      <c r="G30" s="31">
        <v>44006</v>
      </c>
      <c r="H30" s="31">
        <v>44005</v>
      </c>
      <c r="I30" s="31">
        <v>44012</v>
      </c>
      <c r="J30" s="12">
        <f t="shared" si="12"/>
        <v>0.12415</v>
      </c>
      <c r="M30" s="12">
        <f t="shared" si="13"/>
        <v>0.12415</v>
      </c>
      <c r="N30" s="12">
        <v>0.12415</v>
      </c>
      <c r="Q30" s="12">
        <f t="shared" si="14"/>
        <v>0.12415</v>
      </c>
      <c r="R30" s="12">
        <f>N30*1</f>
        <v>0.12415</v>
      </c>
      <c r="U30" s="12">
        <f t="shared" si="15"/>
        <v>0.12415</v>
      </c>
      <c r="AE30" s="30"/>
      <c r="AJ30" s="12">
        <f t="shared" si="16"/>
        <v>0</v>
      </c>
      <c r="AL30" s="1" t="s">
        <v>100</v>
      </c>
      <c r="AM30" s="1" t="s">
        <v>101</v>
      </c>
      <c r="AN30" s="29" t="s">
        <v>98</v>
      </c>
      <c r="AW30" s="12">
        <f t="shared" ref="AW30:AW46" si="17">AX30+AY30+AZ30</f>
        <v>0.12415</v>
      </c>
      <c r="AX30" s="12"/>
      <c r="AY30" s="12"/>
      <c r="AZ30" s="12">
        <f t="shared" ref="AZ30:AZ46" si="18">BA30+BB30+BI30+BM30+BO30+BQ30</f>
        <v>0.12415</v>
      </c>
      <c r="BA30" s="12">
        <v>0.12415</v>
      </c>
      <c r="BB30" s="7"/>
      <c r="BC30" s="12"/>
      <c r="BD30" s="12">
        <f t="shared" ref="BD30:BD46" si="19">BA30+BB30+BC30</f>
        <v>0.12415</v>
      </c>
      <c r="BE30" s="12"/>
      <c r="BF30" s="7"/>
      <c r="BG30" s="12"/>
      <c r="BH30" s="12">
        <f t="shared" ref="BH30:BH46" si="20">BE30+BF30+BG30</f>
        <v>0</v>
      </c>
      <c r="BI30" s="7"/>
    </row>
    <row r="31" spans="1:61">
      <c r="A31" t="s">
        <v>130</v>
      </c>
      <c r="B31" t="s">
        <v>131</v>
      </c>
      <c r="C31" t="s">
        <v>132</v>
      </c>
      <c r="G31" s="31">
        <v>43915</v>
      </c>
      <c r="H31" s="31">
        <v>43914</v>
      </c>
      <c r="I31" s="31">
        <v>43921</v>
      </c>
      <c r="J31" s="12">
        <f t="shared" si="12"/>
        <v>0.26457999999999998</v>
      </c>
      <c r="M31" s="12">
        <f t="shared" si="13"/>
        <v>0.26457999999999998</v>
      </c>
      <c r="N31" s="12">
        <v>0.26457999999999998</v>
      </c>
      <c r="Q31" s="12">
        <f t="shared" si="14"/>
        <v>0.26457999999999998</v>
      </c>
      <c r="R31" s="12">
        <f>N31*1</f>
        <v>0.26457999999999998</v>
      </c>
      <c r="U31" s="12">
        <f t="shared" si="15"/>
        <v>0.26457999999999998</v>
      </c>
      <c r="AE31" s="30"/>
      <c r="AJ31" s="12">
        <f t="shared" si="16"/>
        <v>0</v>
      </c>
      <c r="AL31" s="1" t="s">
        <v>100</v>
      </c>
      <c r="AM31" s="1" t="s">
        <v>101</v>
      </c>
      <c r="AN31" s="29" t="s">
        <v>98</v>
      </c>
      <c r="AW31" s="12">
        <f t="shared" si="17"/>
        <v>0.26457999999999998</v>
      </c>
      <c r="AX31" s="12"/>
      <c r="AY31" s="12"/>
      <c r="AZ31" s="12">
        <f t="shared" si="18"/>
        <v>0.26457999999999998</v>
      </c>
      <c r="BA31" s="12">
        <v>0.26457999999999998</v>
      </c>
      <c r="BB31" s="7"/>
      <c r="BC31" s="12"/>
      <c r="BD31" s="12">
        <f t="shared" si="19"/>
        <v>0.26457999999999998</v>
      </c>
      <c r="BE31" s="12"/>
      <c r="BF31" s="7"/>
      <c r="BG31" s="12"/>
      <c r="BH31" s="12">
        <f t="shared" si="20"/>
        <v>0</v>
      </c>
      <c r="BI31" s="7"/>
    </row>
    <row r="32" spans="1:61">
      <c r="A32" t="s">
        <v>130</v>
      </c>
      <c r="B32" t="s">
        <v>131</v>
      </c>
      <c r="C32" t="s">
        <v>132</v>
      </c>
      <c r="G32" s="31">
        <v>44006</v>
      </c>
      <c r="H32" s="31">
        <v>44005</v>
      </c>
      <c r="I32" s="31">
        <v>44012</v>
      </c>
      <c r="J32" s="12">
        <f t="shared" si="12"/>
        <v>0.29813000000000001</v>
      </c>
      <c r="M32" s="12">
        <f t="shared" si="13"/>
        <v>0.29813000000000001</v>
      </c>
      <c r="N32" s="12">
        <v>0.29813000000000001</v>
      </c>
      <c r="Q32" s="12">
        <f t="shared" si="14"/>
        <v>0.29813000000000001</v>
      </c>
      <c r="R32" s="12">
        <f>N32*1</f>
        <v>0.29813000000000001</v>
      </c>
      <c r="U32" s="12">
        <f t="shared" si="15"/>
        <v>0.29813000000000001</v>
      </c>
      <c r="AE32" s="30"/>
      <c r="AJ32" s="12">
        <f t="shared" si="16"/>
        <v>0</v>
      </c>
      <c r="AL32" s="1" t="s">
        <v>100</v>
      </c>
      <c r="AM32" s="1" t="s">
        <v>101</v>
      </c>
      <c r="AN32" s="29" t="s">
        <v>98</v>
      </c>
      <c r="AW32" s="12">
        <f t="shared" si="17"/>
        <v>0.29813000000000001</v>
      </c>
      <c r="AX32" s="12"/>
      <c r="AY32" s="12"/>
      <c r="AZ32" s="12">
        <f t="shared" si="18"/>
        <v>0.29813000000000001</v>
      </c>
      <c r="BA32" s="12">
        <v>0.29813000000000001</v>
      </c>
      <c r="BB32" s="7"/>
      <c r="BC32" s="12"/>
      <c r="BD32" s="12">
        <f t="shared" si="19"/>
        <v>0.29813000000000001</v>
      </c>
      <c r="BE32" s="12"/>
      <c r="BF32" s="7"/>
      <c r="BG32" s="12"/>
      <c r="BH32" s="12">
        <f t="shared" si="20"/>
        <v>0</v>
      </c>
      <c r="BI32" s="7"/>
    </row>
    <row r="33" spans="1:61">
      <c r="A33" t="s">
        <v>133</v>
      </c>
      <c r="B33" t="s">
        <v>134</v>
      </c>
      <c r="C33" t="s">
        <v>135</v>
      </c>
      <c r="G33" s="31">
        <v>44006</v>
      </c>
      <c r="H33" s="31">
        <v>44005</v>
      </c>
      <c r="I33" s="31">
        <v>44012</v>
      </c>
      <c r="J33" s="12">
        <f t="shared" si="12"/>
        <v>0.35128999999999988</v>
      </c>
      <c r="M33" s="12">
        <f t="shared" si="13"/>
        <v>0.35128999999999988</v>
      </c>
      <c r="N33" s="12">
        <v>0.35128999999999988</v>
      </c>
      <c r="Q33" s="12">
        <f t="shared" si="14"/>
        <v>0.35128999999999988</v>
      </c>
      <c r="R33" s="12">
        <f>N33*0.325</f>
        <v>0.11416924999999996</v>
      </c>
      <c r="U33" s="12">
        <f t="shared" si="15"/>
        <v>0.11416924999999996</v>
      </c>
      <c r="AE33" s="30"/>
      <c r="AJ33" s="12">
        <f t="shared" si="16"/>
        <v>0</v>
      </c>
      <c r="AL33" s="1" t="s">
        <v>100</v>
      </c>
      <c r="AM33" s="1" t="s">
        <v>101</v>
      </c>
      <c r="AN33" s="29" t="s">
        <v>98</v>
      </c>
      <c r="AW33" s="12">
        <f t="shared" si="17"/>
        <v>0.35128999999999988</v>
      </c>
      <c r="AX33" s="12"/>
      <c r="AY33" s="12"/>
      <c r="AZ33" s="12">
        <f t="shared" si="18"/>
        <v>0.35128999999999988</v>
      </c>
      <c r="BA33" s="12">
        <v>0.35128999999999988</v>
      </c>
      <c r="BB33" s="7"/>
      <c r="BC33" s="12"/>
      <c r="BD33" s="12">
        <f t="shared" si="19"/>
        <v>0.35128999999999988</v>
      </c>
      <c r="BE33" s="12"/>
      <c r="BF33" s="7"/>
      <c r="BG33" s="12"/>
      <c r="BH33" s="12">
        <f t="shared" si="20"/>
        <v>0</v>
      </c>
      <c r="BI33" s="7"/>
    </row>
    <row r="34" spans="1:61">
      <c r="A34" t="s">
        <v>136</v>
      </c>
      <c r="B34" t="s">
        <v>137</v>
      </c>
      <c r="C34" t="s">
        <v>138</v>
      </c>
      <c r="G34" s="31">
        <v>43915</v>
      </c>
      <c r="H34" s="31">
        <v>43914</v>
      </c>
      <c r="I34" s="31">
        <v>43921</v>
      </c>
      <c r="J34" s="12">
        <f t="shared" si="12"/>
        <v>0.22942999999999997</v>
      </c>
      <c r="M34" s="12">
        <f t="shared" si="13"/>
        <v>0.22942999999999997</v>
      </c>
      <c r="N34" s="12">
        <v>0.22942999999999997</v>
      </c>
      <c r="Q34" s="12">
        <f t="shared" si="14"/>
        <v>0.22942999999999997</v>
      </c>
      <c r="R34" s="12">
        <f>N34*0.1897</f>
        <v>4.3522870999999998E-2</v>
      </c>
      <c r="U34" s="12">
        <f t="shared" si="15"/>
        <v>4.3522870999999998E-2</v>
      </c>
      <c r="AE34" s="30"/>
      <c r="AJ34" s="12">
        <f t="shared" si="16"/>
        <v>0</v>
      </c>
      <c r="AL34" s="1" t="s">
        <v>100</v>
      </c>
      <c r="AM34" s="1" t="s">
        <v>101</v>
      </c>
      <c r="AN34" s="29" t="s">
        <v>98</v>
      </c>
      <c r="AW34" s="12">
        <f t="shared" si="17"/>
        <v>0.22942999999999997</v>
      </c>
      <c r="AX34" s="12"/>
      <c r="AY34" s="12"/>
      <c r="AZ34" s="12">
        <f t="shared" si="18"/>
        <v>0.22942999999999997</v>
      </c>
      <c r="BA34" s="12">
        <v>0.22942999999999997</v>
      </c>
      <c r="BB34" s="7"/>
      <c r="BC34" s="12"/>
      <c r="BD34" s="12">
        <f t="shared" si="19"/>
        <v>0.22942999999999997</v>
      </c>
      <c r="BE34" s="12"/>
      <c r="BF34" s="7"/>
      <c r="BG34" s="12"/>
      <c r="BH34" s="12">
        <f t="shared" si="20"/>
        <v>0</v>
      </c>
      <c r="BI34" s="7"/>
    </row>
    <row r="35" spans="1:61">
      <c r="A35" t="s">
        <v>136</v>
      </c>
      <c r="B35" t="s">
        <v>137</v>
      </c>
      <c r="C35" t="s">
        <v>138</v>
      </c>
      <c r="G35" s="31">
        <v>44006</v>
      </c>
      <c r="H35" s="31">
        <v>44005</v>
      </c>
      <c r="I35" s="31">
        <v>44012</v>
      </c>
      <c r="J35" s="12">
        <f t="shared" si="12"/>
        <v>0.17377000000000006</v>
      </c>
      <c r="M35" s="12">
        <f t="shared" si="13"/>
        <v>0.17377000000000006</v>
      </c>
      <c r="N35" s="12">
        <v>0.17377000000000006</v>
      </c>
      <c r="Q35" s="12">
        <f t="shared" si="14"/>
        <v>0.17377000000000006</v>
      </c>
      <c r="R35" s="12">
        <f>M35*0.1897</f>
        <v>3.2964169000000015E-2</v>
      </c>
      <c r="U35" s="12">
        <f t="shared" si="15"/>
        <v>3.2964169000000015E-2</v>
      </c>
      <c r="AE35" s="30"/>
      <c r="AJ35" s="12">
        <f t="shared" si="16"/>
        <v>0</v>
      </c>
      <c r="AL35" s="1" t="s">
        <v>100</v>
      </c>
      <c r="AM35" s="1" t="s">
        <v>101</v>
      </c>
      <c r="AN35" s="29" t="s">
        <v>98</v>
      </c>
      <c r="AW35" s="12">
        <f t="shared" si="17"/>
        <v>0.17377000000000006</v>
      </c>
      <c r="AX35" s="12"/>
      <c r="AY35" s="12"/>
      <c r="AZ35" s="12">
        <f t="shared" si="18"/>
        <v>0.17377000000000006</v>
      </c>
      <c r="BA35" s="12">
        <v>0.17377000000000006</v>
      </c>
      <c r="BB35" s="7"/>
      <c r="BC35" s="12"/>
      <c r="BD35" s="12">
        <f t="shared" si="19"/>
        <v>0.17377000000000006</v>
      </c>
      <c r="BE35" s="12"/>
      <c r="BF35" s="7"/>
      <c r="BG35" s="12"/>
      <c r="BH35" s="12">
        <f t="shared" si="20"/>
        <v>0</v>
      </c>
      <c r="BI35" s="7"/>
    </row>
    <row r="36" spans="1:61">
      <c r="A36" t="s">
        <v>139</v>
      </c>
      <c r="B36" t="s">
        <v>140</v>
      </c>
      <c r="C36" t="s">
        <v>141</v>
      </c>
      <c r="G36" s="31">
        <v>43915</v>
      </c>
      <c r="H36" s="31">
        <v>43914</v>
      </c>
      <c r="I36" s="31">
        <v>43921</v>
      </c>
      <c r="J36" s="12">
        <f t="shared" si="12"/>
        <v>0.26228000000000007</v>
      </c>
      <c r="M36" s="12">
        <f t="shared" si="13"/>
        <v>0.26228000000000007</v>
      </c>
      <c r="N36" s="12">
        <v>0.26228000000000007</v>
      </c>
      <c r="Q36" s="12">
        <f t="shared" si="14"/>
        <v>0.26228000000000007</v>
      </c>
      <c r="R36" s="12">
        <f t="shared" ref="R36:R41" si="21">N36*1</f>
        <v>0.26228000000000007</v>
      </c>
      <c r="U36" s="12">
        <f t="shared" si="15"/>
        <v>0.26228000000000007</v>
      </c>
      <c r="AE36" s="30"/>
      <c r="AJ36" s="12">
        <f t="shared" si="16"/>
        <v>0</v>
      </c>
      <c r="AL36" s="1" t="s">
        <v>100</v>
      </c>
      <c r="AM36" s="1" t="s">
        <v>101</v>
      </c>
      <c r="AN36" s="29" t="s">
        <v>98</v>
      </c>
      <c r="AW36" s="12">
        <f t="shared" si="17"/>
        <v>0.26228000000000007</v>
      </c>
      <c r="AX36" s="12"/>
      <c r="AY36" s="12"/>
      <c r="AZ36" s="12">
        <f t="shared" si="18"/>
        <v>0.26228000000000007</v>
      </c>
      <c r="BA36" s="12">
        <v>0.26228000000000007</v>
      </c>
      <c r="BB36" s="7"/>
      <c r="BC36" s="12"/>
      <c r="BD36" s="12">
        <f t="shared" si="19"/>
        <v>0.26228000000000007</v>
      </c>
      <c r="BE36" s="12"/>
      <c r="BF36" s="7"/>
      <c r="BG36" s="12"/>
      <c r="BH36" s="12">
        <f t="shared" si="20"/>
        <v>0</v>
      </c>
      <c r="BI36" s="7"/>
    </row>
    <row r="37" spans="1:61">
      <c r="A37" t="s">
        <v>139</v>
      </c>
      <c r="B37" t="s">
        <v>140</v>
      </c>
      <c r="C37" t="s">
        <v>141</v>
      </c>
      <c r="G37" s="31">
        <v>44006</v>
      </c>
      <c r="H37" s="31">
        <v>44005</v>
      </c>
      <c r="I37" s="31">
        <v>44012</v>
      </c>
      <c r="J37" s="12">
        <f t="shared" si="12"/>
        <v>0.33943000000000006</v>
      </c>
      <c r="M37" s="12">
        <f t="shared" si="13"/>
        <v>0.33943000000000006</v>
      </c>
      <c r="N37" s="12">
        <v>0.33943000000000006</v>
      </c>
      <c r="Q37" s="12">
        <f t="shared" si="14"/>
        <v>0.33943000000000006</v>
      </c>
      <c r="R37" s="12">
        <f t="shared" si="21"/>
        <v>0.33943000000000006</v>
      </c>
      <c r="U37" s="12">
        <f t="shared" si="15"/>
        <v>0.33943000000000006</v>
      </c>
      <c r="AE37" s="30"/>
      <c r="AJ37" s="12">
        <f t="shared" si="16"/>
        <v>0</v>
      </c>
      <c r="AL37" s="1" t="s">
        <v>100</v>
      </c>
      <c r="AM37" s="1" t="s">
        <v>101</v>
      </c>
      <c r="AN37" s="29" t="s">
        <v>98</v>
      </c>
      <c r="AW37" s="12">
        <f t="shared" si="17"/>
        <v>0.33943000000000006</v>
      </c>
      <c r="AX37" s="12"/>
      <c r="AY37" s="12"/>
      <c r="AZ37" s="12">
        <f t="shared" si="18"/>
        <v>0.33943000000000006</v>
      </c>
      <c r="BA37" s="12">
        <v>0.33943000000000006</v>
      </c>
      <c r="BB37" s="7"/>
      <c r="BC37" s="12"/>
      <c r="BD37" s="12">
        <f t="shared" si="19"/>
        <v>0.33943000000000006</v>
      </c>
      <c r="BE37" s="12"/>
      <c r="BF37" s="7"/>
      <c r="BG37" s="12"/>
      <c r="BH37" s="12">
        <f t="shared" si="20"/>
        <v>0</v>
      </c>
      <c r="BI37" s="7"/>
    </row>
    <row r="38" spans="1:61">
      <c r="A38" t="s">
        <v>142</v>
      </c>
      <c r="B38" t="s">
        <v>143</v>
      </c>
      <c r="C38" t="s">
        <v>144</v>
      </c>
      <c r="E38" t="s">
        <v>95</v>
      </c>
      <c r="G38" s="31">
        <v>44006</v>
      </c>
      <c r="H38" s="31">
        <v>44005</v>
      </c>
      <c r="I38" s="31">
        <v>44012</v>
      </c>
      <c r="J38" s="12">
        <f t="shared" si="12"/>
        <v>0.46209</v>
      </c>
      <c r="M38" s="12">
        <f t="shared" si="13"/>
        <v>0.46209</v>
      </c>
      <c r="N38" s="12">
        <f>0.46209-Z38</f>
        <v>0.41101037000000001</v>
      </c>
      <c r="Q38" s="12">
        <f t="shared" si="14"/>
        <v>0.41101037000000001</v>
      </c>
      <c r="R38" s="12">
        <f t="shared" si="21"/>
        <v>0.41101037000000001</v>
      </c>
      <c r="U38" s="12">
        <f t="shared" si="15"/>
        <v>0.41101037000000001</v>
      </c>
      <c r="Z38" s="12">
        <v>5.1079630000000001E-2</v>
      </c>
      <c r="AE38" s="30"/>
      <c r="AJ38" s="12">
        <f t="shared" si="16"/>
        <v>0</v>
      </c>
      <c r="AL38" s="1" t="s">
        <v>100</v>
      </c>
      <c r="AM38" s="1" t="s">
        <v>101</v>
      </c>
      <c r="AN38" s="29" t="s">
        <v>98</v>
      </c>
      <c r="AW38" s="12">
        <f t="shared" si="17"/>
        <v>0.46209000000000006</v>
      </c>
      <c r="AX38" s="12"/>
      <c r="AY38" s="12"/>
      <c r="AZ38" s="12">
        <f t="shared" si="18"/>
        <v>0.46209000000000006</v>
      </c>
      <c r="BA38" s="12">
        <v>0.46209000000000006</v>
      </c>
      <c r="BB38" s="7"/>
      <c r="BC38" s="12"/>
      <c r="BD38" s="12">
        <f t="shared" si="19"/>
        <v>0.46209000000000006</v>
      </c>
      <c r="BE38" s="12"/>
      <c r="BF38" s="7"/>
      <c r="BG38" s="12"/>
      <c r="BH38" s="12">
        <f t="shared" si="20"/>
        <v>0</v>
      </c>
      <c r="BI38" s="7"/>
    </row>
    <row r="39" spans="1:61">
      <c r="A39" t="s">
        <v>145</v>
      </c>
      <c r="B39" t="s">
        <v>146</v>
      </c>
      <c r="C39" t="s">
        <v>147</v>
      </c>
      <c r="E39" t="s">
        <v>108</v>
      </c>
      <c r="G39" s="31">
        <v>44006</v>
      </c>
      <c r="H39" s="31">
        <v>44005</v>
      </c>
      <c r="I39" s="31">
        <v>44012</v>
      </c>
      <c r="J39" s="12">
        <f t="shared" si="12"/>
        <v>0.29546</v>
      </c>
      <c r="M39" s="12">
        <f t="shared" si="13"/>
        <v>0.29546</v>
      </c>
      <c r="N39" s="12">
        <f>0.29546-Z39</f>
        <v>0.28605081999999998</v>
      </c>
      <c r="Q39" s="12">
        <f t="shared" si="14"/>
        <v>0.28605081999999998</v>
      </c>
      <c r="R39" s="12">
        <f t="shared" si="21"/>
        <v>0.28605081999999998</v>
      </c>
      <c r="U39" s="12">
        <f t="shared" si="15"/>
        <v>0.28605081999999998</v>
      </c>
      <c r="Z39" s="12">
        <v>9.4091799999999996E-3</v>
      </c>
      <c r="AE39" s="30"/>
      <c r="AJ39" s="12">
        <f t="shared" si="16"/>
        <v>0</v>
      </c>
      <c r="AL39" s="1" t="s">
        <v>100</v>
      </c>
      <c r="AM39" s="1" t="s">
        <v>101</v>
      </c>
      <c r="AN39" s="29" t="s">
        <v>98</v>
      </c>
      <c r="AW39" s="12">
        <f t="shared" si="17"/>
        <v>0.29546000000000006</v>
      </c>
      <c r="AX39" s="12"/>
      <c r="AY39" s="12"/>
      <c r="AZ39" s="12">
        <f t="shared" si="18"/>
        <v>0.29546000000000006</v>
      </c>
      <c r="BA39" s="12">
        <v>0.29546000000000006</v>
      </c>
      <c r="BB39" s="7"/>
      <c r="BC39" s="12"/>
      <c r="BD39" s="12">
        <f t="shared" si="19"/>
        <v>0.29546000000000006</v>
      </c>
      <c r="BE39" s="12"/>
      <c r="BF39" s="7"/>
      <c r="BG39" s="12"/>
      <c r="BH39" s="12">
        <f t="shared" si="20"/>
        <v>0</v>
      </c>
      <c r="BI39" s="7"/>
    </row>
    <row r="40" spans="1:61">
      <c r="A40" t="s">
        <v>148</v>
      </c>
      <c r="B40" t="s">
        <v>149</v>
      </c>
      <c r="C40" t="s">
        <v>150</v>
      </c>
      <c r="G40" s="31">
        <v>43915</v>
      </c>
      <c r="H40" s="31">
        <v>43914</v>
      </c>
      <c r="I40" s="31">
        <v>43921</v>
      </c>
      <c r="J40" s="12">
        <f t="shared" si="12"/>
        <v>0.16894000000000001</v>
      </c>
      <c r="M40" s="12">
        <f t="shared" si="13"/>
        <v>0.16894000000000001</v>
      </c>
      <c r="N40" s="12">
        <v>0.16894000000000001</v>
      </c>
      <c r="Q40" s="12">
        <f t="shared" si="14"/>
        <v>0.16894000000000001</v>
      </c>
      <c r="R40" s="12">
        <f t="shared" si="21"/>
        <v>0.16894000000000001</v>
      </c>
      <c r="U40" s="12">
        <f t="shared" si="15"/>
        <v>0.16894000000000001</v>
      </c>
      <c r="AE40" s="30"/>
      <c r="AJ40" s="12">
        <f t="shared" si="16"/>
        <v>0</v>
      </c>
      <c r="AL40" s="1" t="s">
        <v>100</v>
      </c>
      <c r="AM40" s="1" t="s">
        <v>101</v>
      </c>
      <c r="AN40" s="29" t="s">
        <v>98</v>
      </c>
      <c r="AW40" s="12">
        <f t="shared" si="17"/>
        <v>0.16894000000000001</v>
      </c>
      <c r="AX40" s="12"/>
      <c r="AY40" s="12"/>
      <c r="AZ40" s="12">
        <f t="shared" si="18"/>
        <v>0.16894000000000001</v>
      </c>
      <c r="BA40" s="12">
        <v>0.16894000000000001</v>
      </c>
      <c r="BB40" s="7"/>
      <c r="BC40" s="12"/>
      <c r="BD40" s="12">
        <f t="shared" si="19"/>
        <v>0.16894000000000001</v>
      </c>
      <c r="BE40" s="12"/>
      <c r="BF40" s="7"/>
      <c r="BG40" s="12"/>
      <c r="BH40" s="12">
        <f t="shared" si="20"/>
        <v>0</v>
      </c>
      <c r="BI40" s="7"/>
    </row>
    <row r="41" spans="1:61">
      <c r="A41" t="s">
        <v>148</v>
      </c>
      <c r="B41" t="s">
        <v>149</v>
      </c>
      <c r="C41" t="s">
        <v>150</v>
      </c>
      <c r="G41" s="31">
        <v>44006</v>
      </c>
      <c r="H41" s="31">
        <v>44005</v>
      </c>
      <c r="I41" s="31">
        <v>44012</v>
      </c>
      <c r="J41" s="12">
        <f t="shared" si="12"/>
        <v>0.10984999999999999</v>
      </c>
      <c r="M41" s="12">
        <f t="shared" si="13"/>
        <v>0.10984999999999999</v>
      </c>
      <c r="N41" s="12">
        <v>0.10984999999999999</v>
      </c>
      <c r="Q41" s="12">
        <f t="shared" si="14"/>
        <v>0.10984999999999999</v>
      </c>
      <c r="R41" s="12">
        <f t="shared" si="21"/>
        <v>0.10984999999999999</v>
      </c>
      <c r="U41" s="12">
        <f t="shared" si="15"/>
        <v>0.10984999999999999</v>
      </c>
      <c r="AE41" s="30"/>
      <c r="AJ41" s="12">
        <f t="shared" si="16"/>
        <v>0</v>
      </c>
      <c r="AL41" s="1" t="s">
        <v>100</v>
      </c>
      <c r="AM41" s="1" t="s">
        <v>101</v>
      </c>
      <c r="AN41" s="29" t="s">
        <v>98</v>
      </c>
      <c r="AW41" s="12">
        <f t="shared" si="17"/>
        <v>0.10984999999999999</v>
      </c>
      <c r="AX41" s="12"/>
      <c r="AY41" s="12"/>
      <c r="AZ41" s="12">
        <f t="shared" si="18"/>
        <v>0.10984999999999999</v>
      </c>
      <c r="BA41" s="12">
        <v>0.10984999999999999</v>
      </c>
      <c r="BB41" s="7"/>
      <c r="BC41" s="12"/>
      <c r="BD41" s="12">
        <f t="shared" si="19"/>
        <v>0.10984999999999999</v>
      </c>
      <c r="BE41" s="12"/>
      <c r="BF41" s="7"/>
      <c r="BG41" s="12"/>
      <c r="BH41" s="12">
        <f t="shared" si="20"/>
        <v>0</v>
      </c>
      <c r="BI41" s="7"/>
    </row>
    <row r="42" spans="1:61">
      <c r="A42" t="s">
        <v>151</v>
      </c>
      <c r="B42" t="s">
        <v>152</v>
      </c>
      <c r="C42" t="s">
        <v>153</v>
      </c>
      <c r="G42" s="31">
        <v>44006</v>
      </c>
      <c r="H42" s="31">
        <v>44005</v>
      </c>
      <c r="I42" s="31">
        <v>44012</v>
      </c>
      <c r="J42" s="12">
        <f t="shared" si="12"/>
        <v>0.27995999999999993</v>
      </c>
      <c r="M42" s="12">
        <f t="shared" si="13"/>
        <v>0.27995999999999993</v>
      </c>
      <c r="N42" s="12">
        <v>0.27995999999999993</v>
      </c>
      <c r="Q42" s="12">
        <f t="shared" si="14"/>
        <v>0.27995999999999993</v>
      </c>
      <c r="R42" s="12">
        <f>N42*0.3563</f>
        <v>9.9749747999999971E-2</v>
      </c>
      <c r="U42" s="12">
        <f t="shared" si="15"/>
        <v>9.9749747999999971E-2</v>
      </c>
      <c r="AE42" s="30"/>
      <c r="AJ42" s="12">
        <f t="shared" si="16"/>
        <v>0</v>
      </c>
      <c r="AL42" s="1" t="s">
        <v>100</v>
      </c>
      <c r="AM42" s="1" t="s">
        <v>101</v>
      </c>
      <c r="AN42" s="29" t="s">
        <v>98</v>
      </c>
      <c r="AW42" s="12">
        <f t="shared" si="17"/>
        <v>0.27995999999999993</v>
      </c>
      <c r="AX42" s="12"/>
      <c r="AY42" s="12"/>
      <c r="AZ42" s="12">
        <f t="shared" si="18"/>
        <v>0.27995999999999993</v>
      </c>
      <c r="BA42" s="12">
        <v>0.27995999999999993</v>
      </c>
      <c r="BB42" s="7"/>
      <c r="BC42" s="12"/>
      <c r="BD42" s="12">
        <f t="shared" si="19"/>
        <v>0.27995999999999993</v>
      </c>
      <c r="BE42" s="12"/>
      <c r="BF42" s="7"/>
      <c r="BG42" s="12"/>
      <c r="BH42" s="12">
        <f t="shared" si="20"/>
        <v>0</v>
      </c>
      <c r="BI42" s="7"/>
    </row>
    <row r="43" spans="1:61">
      <c r="A43" t="s">
        <v>154</v>
      </c>
      <c r="B43" t="s">
        <v>155</v>
      </c>
      <c r="C43" t="s">
        <v>156</v>
      </c>
      <c r="G43" s="31">
        <v>44006</v>
      </c>
      <c r="H43" s="31">
        <v>44005</v>
      </c>
      <c r="I43" s="31">
        <v>44012</v>
      </c>
      <c r="J43" s="12">
        <f t="shared" si="12"/>
        <v>9.1270000000000004E-2</v>
      </c>
      <c r="M43" s="12">
        <f t="shared" si="13"/>
        <v>9.1270000000000004E-2</v>
      </c>
      <c r="N43" s="12">
        <v>9.1270000000000004E-2</v>
      </c>
      <c r="Q43" s="12">
        <f t="shared" si="14"/>
        <v>9.1270000000000004E-2</v>
      </c>
      <c r="R43" s="12">
        <f>N43*1</f>
        <v>9.1270000000000004E-2</v>
      </c>
      <c r="U43" s="12">
        <f t="shared" si="15"/>
        <v>9.1270000000000004E-2</v>
      </c>
      <c r="AE43" s="30"/>
      <c r="AJ43" s="12">
        <f t="shared" si="16"/>
        <v>0</v>
      </c>
      <c r="AL43" s="1" t="s">
        <v>100</v>
      </c>
      <c r="AM43" s="1" t="s">
        <v>101</v>
      </c>
      <c r="AN43" s="29" t="s">
        <v>98</v>
      </c>
      <c r="AW43" s="12">
        <f t="shared" si="17"/>
        <v>9.1270000000000004E-2</v>
      </c>
      <c r="AX43" s="12"/>
      <c r="AY43" s="12"/>
      <c r="AZ43" s="12">
        <f t="shared" si="18"/>
        <v>9.1270000000000004E-2</v>
      </c>
      <c r="BA43" s="12">
        <v>9.1270000000000004E-2</v>
      </c>
      <c r="BB43" s="7"/>
      <c r="BC43" s="12"/>
      <c r="BD43" s="12">
        <f t="shared" si="19"/>
        <v>9.1270000000000004E-2</v>
      </c>
      <c r="BE43" s="12"/>
      <c r="BF43" s="7"/>
      <c r="BG43" s="12"/>
      <c r="BH43" s="12">
        <f t="shared" si="20"/>
        <v>0</v>
      </c>
      <c r="BI43" s="7"/>
    </row>
    <row r="44" spans="1:61">
      <c r="A44" t="s">
        <v>157</v>
      </c>
      <c r="B44" t="s">
        <v>158</v>
      </c>
      <c r="C44" t="s">
        <v>159</v>
      </c>
      <c r="G44" s="31">
        <v>44006</v>
      </c>
      <c r="H44" s="31">
        <v>44005</v>
      </c>
      <c r="I44" s="31">
        <v>44012</v>
      </c>
      <c r="J44" s="12">
        <f t="shared" si="12"/>
        <v>0.14418</v>
      </c>
      <c r="M44" s="12">
        <f t="shared" si="13"/>
        <v>0.14418</v>
      </c>
      <c r="N44" s="12">
        <v>0.14418</v>
      </c>
      <c r="Q44" s="12">
        <f t="shared" si="14"/>
        <v>0.14418</v>
      </c>
      <c r="R44" s="12">
        <f>N44*1</f>
        <v>0.14418</v>
      </c>
      <c r="U44" s="12">
        <f t="shared" si="15"/>
        <v>0.14418</v>
      </c>
      <c r="AE44" s="30"/>
      <c r="AJ44" s="12">
        <f t="shared" si="16"/>
        <v>0</v>
      </c>
      <c r="AL44" s="1" t="s">
        <v>100</v>
      </c>
      <c r="AM44" s="1" t="s">
        <v>101</v>
      </c>
      <c r="AN44" s="29" t="s">
        <v>98</v>
      </c>
      <c r="AW44" s="12">
        <f t="shared" si="17"/>
        <v>0.14418</v>
      </c>
      <c r="AX44" s="12"/>
      <c r="AY44" s="12"/>
      <c r="AZ44" s="12">
        <f t="shared" si="18"/>
        <v>0.14418</v>
      </c>
      <c r="BA44" s="12">
        <v>0.14418</v>
      </c>
      <c r="BB44" s="7"/>
      <c r="BC44" s="12"/>
      <c r="BD44" s="12">
        <f t="shared" si="19"/>
        <v>0.14418</v>
      </c>
      <c r="BE44" s="12"/>
      <c r="BF44" s="7"/>
      <c r="BG44" s="12"/>
      <c r="BH44" s="12">
        <f t="shared" si="20"/>
        <v>0</v>
      </c>
      <c r="BI44" s="7"/>
    </row>
    <row r="45" spans="1:61">
      <c r="A45" t="s">
        <v>160</v>
      </c>
      <c r="B45" t="s">
        <v>161</v>
      </c>
      <c r="C45" t="s">
        <v>162</v>
      </c>
      <c r="G45" s="31">
        <v>44006</v>
      </c>
      <c r="H45" s="31">
        <v>44005</v>
      </c>
      <c r="I45" s="31">
        <v>44012</v>
      </c>
      <c r="J45" s="12">
        <f t="shared" si="12"/>
        <v>0.42788000000000004</v>
      </c>
      <c r="M45" s="12">
        <f t="shared" si="13"/>
        <v>0.42788000000000004</v>
      </c>
      <c r="N45" s="12">
        <v>0.42788000000000004</v>
      </c>
      <c r="Q45" s="12">
        <f t="shared" si="14"/>
        <v>0.42788000000000004</v>
      </c>
      <c r="R45" s="12">
        <f>N45*0.1053</f>
        <v>4.5055764000000005E-2</v>
      </c>
      <c r="U45" s="12">
        <f t="shared" si="15"/>
        <v>4.5055764000000005E-2</v>
      </c>
      <c r="AE45" s="30"/>
      <c r="AJ45" s="12">
        <f t="shared" si="16"/>
        <v>0</v>
      </c>
      <c r="AL45" s="1" t="s">
        <v>100</v>
      </c>
      <c r="AM45" s="1" t="s">
        <v>101</v>
      </c>
      <c r="AN45" s="29" t="s">
        <v>98</v>
      </c>
      <c r="AW45" s="12">
        <f t="shared" si="17"/>
        <v>0.42788000000000004</v>
      </c>
      <c r="AX45" s="12"/>
      <c r="AY45" s="12"/>
      <c r="AZ45" s="12">
        <f t="shared" si="18"/>
        <v>0.42788000000000004</v>
      </c>
      <c r="BA45" s="12">
        <v>0.42788000000000004</v>
      </c>
      <c r="BB45" s="7"/>
      <c r="BC45" s="12"/>
      <c r="BD45" s="12">
        <f t="shared" si="19"/>
        <v>0.42788000000000004</v>
      </c>
      <c r="BE45" s="12"/>
      <c r="BF45" s="7"/>
      <c r="BG45" s="12"/>
      <c r="BH45" s="12">
        <f t="shared" si="20"/>
        <v>0</v>
      </c>
      <c r="BI45" s="7"/>
    </row>
    <row r="46" spans="1:61">
      <c r="A46" t="s">
        <v>163</v>
      </c>
      <c r="B46" t="s">
        <v>164</v>
      </c>
      <c r="C46" t="s">
        <v>165</v>
      </c>
      <c r="G46" s="31">
        <v>44006</v>
      </c>
      <c r="H46" s="31">
        <v>44005</v>
      </c>
      <c r="I46" s="31">
        <v>44012</v>
      </c>
      <c r="J46" s="12">
        <f t="shared" si="12"/>
        <v>0.18415999999999996</v>
      </c>
      <c r="M46" s="12">
        <f t="shared" si="13"/>
        <v>0.18415999999999996</v>
      </c>
      <c r="N46" s="12">
        <v>0.18415999999999996</v>
      </c>
      <c r="Q46" s="12">
        <f t="shared" si="14"/>
        <v>0.18415999999999996</v>
      </c>
      <c r="R46" s="12">
        <f>N46*1</f>
        <v>0.18415999999999996</v>
      </c>
      <c r="U46" s="12">
        <f t="shared" si="15"/>
        <v>0.18415999999999996</v>
      </c>
      <c r="AE46" s="30"/>
      <c r="AJ46" s="12">
        <f t="shared" si="16"/>
        <v>0</v>
      </c>
      <c r="AL46" s="1" t="s">
        <v>100</v>
      </c>
      <c r="AM46" s="1" t="s">
        <v>101</v>
      </c>
      <c r="AN46" s="29" t="s">
        <v>98</v>
      </c>
      <c r="AW46" s="12">
        <f t="shared" si="17"/>
        <v>0.18415999999999996</v>
      </c>
      <c r="AX46" s="12"/>
      <c r="AY46" s="12"/>
      <c r="AZ46" s="12">
        <f t="shared" si="18"/>
        <v>0.18415999999999996</v>
      </c>
      <c r="BA46" s="12">
        <v>0.18415999999999996</v>
      </c>
      <c r="BB46" s="7"/>
      <c r="BC46" s="12"/>
      <c r="BD46" s="12">
        <f t="shared" si="19"/>
        <v>0.18415999999999996</v>
      </c>
      <c r="BE46" s="12"/>
      <c r="BF46" s="7"/>
      <c r="BG46" s="12"/>
      <c r="BH46" s="12">
        <f t="shared" si="20"/>
        <v>0</v>
      </c>
      <c r="BI46" s="7"/>
    </row>
    <row r="47" spans="1:61">
      <c r="A47" t="s">
        <v>166</v>
      </c>
      <c r="B47" t="s">
        <v>167</v>
      </c>
      <c r="C47" t="s">
        <v>168</v>
      </c>
      <c r="E47" t="s">
        <v>95</v>
      </c>
      <c r="G47" s="31">
        <v>43915</v>
      </c>
      <c r="H47" s="31">
        <v>43914</v>
      </c>
      <c r="I47" s="31">
        <v>43921</v>
      </c>
      <c r="J47" s="12">
        <f t="shared" ref="J47:J56" si="22">K47+L47+M47</f>
        <v>3.2349999999999997E-2</v>
      </c>
      <c r="M47" s="12">
        <f t="shared" ref="M47:M56" si="23">N47+O47+V47+Z47+AB47+AD47</f>
        <v>3.2349999999999997E-2</v>
      </c>
      <c r="N47" s="12">
        <f>0.03235-Z47</f>
        <v>3.0306199999999978E-3</v>
      </c>
      <c r="Q47" s="12">
        <f t="shared" ref="Q47:Q56" si="24">N47+O47+P47</f>
        <v>3.0306199999999978E-3</v>
      </c>
      <c r="U47" s="12">
        <f t="shared" ref="U47:U56" si="25">R47+S47+T47</f>
        <v>0</v>
      </c>
      <c r="Z47" s="12">
        <v>2.9319379999999999E-2</v>
      </c>
      <c r="AE47" s="30"/>
      <c r="AJ47" s="12">
        <f t="shared" ref="AJ47:AJ56" si="26">AG47+AH47+AI47</f>
        <v>0</v>
      </c>
      <c r="AL47" s="1" t="s">
        <v>101</v>
      </c>
      <c r="AM47" s="1" t="s">
        <v>101</v>
      </c>
      <c r="AN47" s="29" t="s">
        <v>98</v>
      </c>
      <c r="AW47" s="12">
        <f t="shared" ref="AW47:AW69" si="27">AX47+AY47+AZ47</f>
        <v>3.2349999999999997E-2</v>
      </c>
      <c r="AX47" s="12"/>
      <c r="AY47" s="12"/>
      <c r="AZ47" s="12">
        <f t="shared" ref="AZ47:AZ69" si="28">BA47+BB47+BI47+BM47+BO47+BQ47</f>
        <v>3.2349999999999997E-2</v>
      </c>
      <c r="BA47" s="12">
        <v>3.2349999999999997E-2</v>
      </c>
      <c r="BB47" s="7"/>
      <c r="BC47" s="12"/>
      <c r="BD47" s="12">
        <f t="shared" ref="BD47:BD69" si="29">BA47+BB47+BC47</f>
        <v>3.2349999999999997E-2</v>
      </c>
      <c r="BE47" s="12"/>
      <c r="BF47" s="7"/>
      <c r="BG47" s="12"/>
      <c r="BH47" s="12">
        <f t="shared" ref="BH47:BH69" si="30">BE47+BF47+BG47</f>
        <v>0</v>
      </c>
      <c r="BI47" s="7"/>
    </row>
    <row r="48" spans="1:61">
      <c r="A48" t="s">
        <v>169</v>
      </c>
      <c r="B48" t="s">
        <v>170</v>
      </c>
      <c r="C48" t="s">
        <v>171</v>
      </c>
      <c r="G48" s="31">
        <v>44176</v>
      </c>
      <c r="H48" s="31">
        <v>44175</v>
      </c>
      <c r="I48" s="31">
        <v>44182</v>
      </c>
      <c r="J48" s="12">
        <f t="shared" si="22"/>
        <v>0.71930000000000005</v>
      </c>
      <c r="M48" s="12">
        <f t="shared" si="23"/>
        <v>0.71930000000000005</v>
      </c>
      <c r="O48" s="7">
        <v>0.71930000000000005</v>
      </c>
      <c r="Q48" s="12">
        <f t="shared" si="24"/>
        <v>0.71930000000000005</v>
      </c>
      <c r="S48" s="12">
        <f>O48*0.0312</f>
        <v>2.2442159999999999E-2</v>
      </c>
      <c r="U48" s="12">
        <f t="shared" si="25"/>
        <v>2.2442159999999999E-2</v>
      </c>
      <c r="AE48" s="30"/>
      <c r="AJ48" s="12">
        <f t="shared" si="26"/>
        <v>0</v>
      </c>
      <c r="AL48" s="1" t="s">
        <v>101</v>
      </c>
      <c r="AM48" s="1" t="s">
        <v>101</v>
      </c>
      <c r="AN48" s="29" t="s">
        <v>98</v>
      </c>
      <c r="AW48" s="12">
        <f t="shared" si="27"/>
        <v>0.71930000000000005</v>
      </c>
      <c r="AX48" s="12"/>
      <c r="AY48" s="12"/>
      <c r="AZ48" s="12">
        <f t="shared" si="28"/>
        <v>0.71930000000000005</v>
      </c>
      <c r="BA48" s="12"/>
      <c r="BB48" s="7">
        <v>0.71930000000000005</v>
      </c>
      <c r="BC48" s="12"/>
      <c r="BD48" s="12">
        <f t="shared" si="29"/>
        <v>0.71930000000000005</v>
      </c>
      <c r="BE48" s="12"/>
      <c r="BF48" s="7"/>
      <c r="BG48" s="12"/>
      <c r="BH48" s="12">
        <f t="shared" si="30"/>
        <v>0</v>
      </c>
      <c r="BI48" s="7"/>
    </row>
    <row r="49" spans="1:61">
      <c r="A49" t="s">
        <v>169</v>
      </c>
      <c r="B49" t="s">
        <v>170</v>
      </c>
      <c r="C49" t="s">
        <v>171</v>
      </c>
      <c r="G49" s="31">
        <v>44188</v>
      </c>
      <c r="H49" s="31">
        <v>44187</v>
      </c>
      <c r="I49" s="31">
        <v>44195</v>
      </c>
      <c r="J49" s="12">
        <f t="shared" si="22"/>
        <v>4.7800000000000002E-2</v>
      </c>
      <c r="M49" s="12">
        <f t="shared" si="23"/>
        <v>4.7800000000000002E-2</v>
      </c>
      <c r="N49" s="12">
        <v>4.7800000000000002E-2</v>
      </c>
      <c r="Q49" s="12">
        <f t="shared" si="24"/>
        <v>4.7800000000000002E-2</v>
      </c>
      <c r="R49" s="12">
        <f>N49*0.0312</f>
        <v>1.49136E-3</v>
      </c>
      <c r="U49" s="12">
        <f t="shared" si="25"/>
        <v>1.49136E-3</v>
      </c>
      <c r="AE49" s="30"/>
      <c r="AJ49" s="12">
        <f t="shared" si="26"/>
        <v>0</v>
      </c>
      <c r="AL49" s="1" t="s">
        <v>101</v>
      </c>
      <c r="AM49" s="1" t="s">
        <v>101</v>
      </c>
      <c r="AN49" s="29" t="s">
        <v>98</v>
      </c>
      <c r="AW49" s="12">
        <f t="shared" si="27"/>
        <v>4.7800000000000002E-2</v>
      </c>
      <c r="AX49" s="12"/>
      <c r="AY49" s="12"/>
      <c r="AZ49" s="12">
        <f t="shared" si="28"/>
        <v>4.7800000000000002E-2</v>
      </c>
      <c r="BA49" s="12">
        <v>4.7800000000000002E-2</v>
      </c>
      <c r="BB49" s="7"/>
      <c r="BC49" s="12"/>
      <c r="BD49" s="12">
        <f t="shared" si="29"/>
        <v>4.7800000000000002E-2</v>
      </c>
      <c r="BE49" s="12"/>
      <c r="BF49" s="7"/>
      <c r="BG49" s="12"/>
      <c r="BH49" s="12">
        <f t="shared" si="30"/>
        <v>0</v>
      </c>
      <c r="BI49" s="7"/>
    </row>
    <row r="50" spans="1:61">
      <c r="A50" t="s">
        <v>172</v>
      </c>
      <c r="B50" t="s">
        <v>173</v>
      </c>
      <c r="C50" t="s">
        <v>174</v>
      </c>
      <c r="E50" t="s">
        <v>108</v>
      </c>
      <c r="G50" s="31">
        <v>43915</v>
      </c>
      <c r="H50" s="31">
        <v>43914</v>
      </c>
      <c r="I50" s="31">
        <v>43921</v>
      </c>
      <c r="J50" s="12">
        <f t="shared" si="22"/>
        <v>2.0199999999999999E-2</v>
      </c>
      <c r="M50" s="12">
        <f t="shared" si="23"/>
        <v>2.0199999999999999E-2</v>
      </c>
      <c r="N50" s="12">
        <f>0.0202-Z50</f>
        <v>9.0423299999999995E-3</v>
      </c>
      <c r="Q50" s="12">
        <f t="shared" si="24"/>
        <v>9.0423299999999995E-3</v>
      </c>
      <c r="U50" s="12">
        <f t="shared" si="25"/>
        <v>0</v>
      </c>
      <c r="Z50" s="12">
        <v>1.115767E-2</v>
      </c>
      <c r="AE50" s="30"/>
      <c r="AJ50" s="12">
        <f t="shared" si="26"/>
        <v>0</v>
      </c>
      <c r="AL50" s="1" t="s">
        <v>101</v>
      </c>
      <c r="AM50" s="1" t="s">
        <v>101</v>
      </c>
      <c r="AN50" s="29" t="s">
        <v>98</v>
      </c>
      <c r="AW50" s="12">
        <f t="shared" si="27"/>
        <v>2.0199999999999996E-2</v>
      </c>
      <c r="AX50" s="12"/>
      <c r="AY50" s="12"/>
      <c r="AZ50" s="12">
        <f t="shared" si="28"/>
        <v>2.0199999999999996E-2</v>
      </c>
      <c r="BA50" s="12">
        <v>2.0199999999999996E-2</v>
      </c>
      <c r="BB50" s="7"/>
      <c r="BC50" s="12"/>
      <c r="BD50" s="12">
        <f t="shared" si="29"/>
        <v>2.0199999999999996E-2</v>
      </c>
      <c r="BE50" s="12"/>
      <c r="BF50" s="7"/>
      <c r="BG50" s="12"/>
      <c r="BH50" s="12">
        <f t="shared" si="30"/>
        <v>0</v>
      </c>
      <c r="BI50" s="7"/>
    </row>
    <row r="51" spans="1:61">
      <c r="A51" t="s">
        <v>175</v>
      </c>
      <c r="B51" t="s">
        <v>176</v>
      </c>
      <c r="C51" t="s">
        <v>177</v>
      </c>
      <c r="G51" s="31">
        <v>43915</v>
      </c>
      <c r="H51" s="31">
        <v>43914</v>
      </c>
      <c r="I51" s="31">
        <v>43921</v>
      </c>
      <c r="J51" s="12">
        <f t="shared" si="22"/>
        <v>9.9250000000000019E-2</v>
      </c>
      <c r="M51" s="12">
        <f t="shared" si="23"/>
        <v>9.9250000000000019E-2</v>
      </c>
      <c r="N51" s="12">
        <v>9.9250000000000019E-2</v>
      </c>
      <c r="Q51" s="12">
        <f t="shared" si="24"/>
        <v>9.9250000000000019E-2</v>
      </c>
      <c r="R51" s="12">
        <f>N51*0.037</f>
        <v>3.6722500000000006E-3</v>
      </c>
      <c r="U51" s="12">
        <f t="shared" si="25"/>
        <v>3.6722500000000006E-3</v>
      </c>
      <c r="AE51" s="30"/>
      <c r="AJ51" s="12">
        <f t="shared" si="26"/>
        <v>0</v>
      </c>
      <c r="AL51" s="1" t="s">
        <v>101</v>
      </c>
      <c r="AM51" s="1" t="s">
        <v>101</v>
      </c>
      <c r="AN51" s="29" t="s">
        <v>98</v>
      </c>
      <c r="AW51" s="12">
        <f t="shared" si="27"/>
        <v>9.9250000000000019E-2</v>
      </c>
      <c r="AX51" s="12"/>
      <c r="AY51" s="12"/>
      <c r="AZ51" s="12">
        <f t="shared" si="28"/>
        <v>9.9250000000000019E-2</v>
      </c>
      <c r="BA51" s="12">
        <v>9.9250000000000019E-2</v>
      </c>
      <c r="BB51" s="7"/>
      <c r="BC51" s="12"/>
      <c r="BD51" s="12">
        <f t="shared" si="29"/>
        <v>9.9250000000000019E-2</v>
      </c>
      <c r="BE51" s="12"/>
      <c r="BF51" s="7"/>
      <c r="BG51" s="12"/>
      <c r="BH51" s="12">
        <f t="shared" si="30"/>
        <v>0</v>
      </c>
      <c r="BI51" s="7"/>
    </row>
    <row r="52" spans="1:61">
      <c r="A52" t="s">
        <v>175</v>
      </c>
      <c r="B52" t="s">
        <v>176</v>
      </c>
      <c r="C52" t="s">
        <v>177</v>
      </c>
      <c r="G52" s="31">
        <v>44176</v>
      </c>
      <c r="H52" s="31">
        <v>44175</v>
      </c>
      <c r="I52" s="31">
        <v>44182</v>
      </c>
      <c r="J52" s="12">
        <f t="shared" si="22"/>
        <v>0.68605000000000005</v>
      </c>
      <c r="M52" s="12">
        <f t="shared" si="23"/>
        <v>0.68605000000000005</v>
      </c>
      <c r="O52" s="7">
        <v>0.68605000000000005</v>
      </c>
      <c r="Q52" s="12">
        <f t="shared" si="24"/>
        <v>0.68605000000000005</v>
      </c>
      <c r="S52" s="7">
        <f>O52*0.037</f>
        <v>2.5383849999999999E-2</v>
      </c>
      <c r="U52" s="12">
        <f t="shared" si="25"/>
        <v>2.5383849999999999E-2</v>
      </c>
      <c r="AE52" s="30"/>
      <c r="AJ52" s="12">
        <f t="shared" si="26"/>
        <v>0</v>
      </c>
      <c r="AL52" s="1" t="s">
        <v>101</v>
      </c>
      <c r="AM52" s="1" t="s">
        <v>101</v>
      </c>
      <c r="AN52" s="29" t="s">
        <v>98</v>
      </c>
      <c r="AW52" s="12">
        <f t="shared" si="27"/>
        <v>0.68605000000000005</v>
      </c>
      <c r="AX52" s="12"/>
      <c r="AY52" s="12"/>
      <c r="AZ52" s="12">
        <f t="shared" si="28"/>
        <v>0.68605000000000005</v>
      </c>
      <c r="BA52" s="12"/>
      <c r="BB52" s="7">
        <v>0.68605000000000005</v>
      </c>
      <c r="BC52" s="12"/>
      <c r="BD52" s="12">
        <f t="shared" si="29"/>
        <v>0.68605000000000005</v>
      </c>
      <c r="BE52" s="12"/>
      <c r="BF52" s="7"/>
      <c r="BG52" s="12"/>
      <c r="BH52" s="12">
        <f t="shared" si="30"/>
        <v>0</v>
      </c>
      <c r="BI52" s="7"/>
    </row>
    <row r="53" spans="1:61">
      <c r="A53" t="s">
        <v>178</v>
      </c>
      <c r="B53" t="s">
        <v>179</v>
      </c>
      <c r="C53" t="s">
        <v>180</v>
      </c>
      <c r="E53" t="s">
        <v>108</v>
      </c>
      <c r="G53" s="31">
        <v>43915</v>
      </c>
      <c r="H53" s="31">
        <v>43914</v>
      </c>
      <c r="I53" s="31">
        <v>43921</v>
      </c>
      <c r="J53" s="12">
        <f t="shared" si="22"/>
        <v>2.8740000000000002E-2</v>
      </c>
      <c r="M53" s="12">
        <f t="shared" si="23"/>
        <v>2.8740000000000002E-2</v>
      </c>
      <c r="N53" s="12">
        <f>0.02874-Z53</f>
        <v>1.634E-2</v>
      </c>
      <c r="Q53" s="12">
        <f t="shared" si="24"/>
        <v>1.634E-2</v>
      </c>
      <c r="U53" s="12">
        <f t="shared" si="25"/>
        <v>0</v>
      </c>
      <c r="Z53" s="12">
        <v>1.24E-2</v>
      </c>
      <c r="AE53" s="30"/>
      <c r="AJ53" s="12">
        <f t="shared" si="26"/>
        <v>0</v>
      </c>
      <c r="AL53" s="1" t="s">
        <v>101</v>
      </c>
      <c r="AM53" s="1" t="s">
        <v>101</v>
      </c>
      <c r="AN53" s="29" t="s">
        <v>98</v>
      </c>
      <c r="AW53" s="12">
        <f t="shared" si="27"/>
        <v>2.8740000000000005E-2</v>
      </c>
      <c r="AX53" s="12"/>
      <c r="AY53" s="12"/>
      <c r="AZ53" s="12">
        <f t="shared" si="28"/>
        <v>2.8740000000000005E-2</v>
      </c>
      <c r="BA53" s="12">
        <v>2.8740000000000005E-2</v>
      </c>
      <c r="BB53" s="7"/>
      <c r="BC53" s="12"/>
      <c r="BD53" s="12">
        <f t="shared" si="29"/>
        <v>2.8740000000000005E-2</v>
      </c>
      <c r="BE53" s="12"/>
      <c r="BF53" s="7"/>
      <c r="BG53" s="12"/>
      <c r="BH53" s="12">
        <f t="shared" si="30"/>
        <v>0</v>
      </c>
      <c r="BI53" s="7"/>
    </row>
    <row r="54" spans="1:61">
      <c r="A54" t="s">
        <v>181</v>
      </c>
      <c r="B54" t="s">
        <v>182</v>
      </c>
      <c r="C54" t="s">
        <v>183</v>
      </c>
      <c r="G54" s="31">
        <v>43915</v>
      </c>
      <c r="H54" s="31">
        <v>43914</v>
      </c>
      <c r="I54" s="31">
        <v>43921</v>
      </c>
      <c r="J54" s="12">
        <f t="shared" si="22"/>
        <v>7.4230000000000004E-2</v>
      </c>
      <c r="M54" s="12">
        <f t="shared" si="23"/>
        <v>7.4230000000000004E-2</v>
      </c>
      <c r="N54" s="12">
        <v>7.4230000000000004E-2</v>
      </c>
      <c r="Q54" s="12">
        <f t="shared" si="24"/>
        <v>7.4230000000000004E-2</v>
      </c>
      <c r="R54" s="12">
        <f>N54*0.1934</f>
        <v>1.4356081999999999E-2</v>
      </c>
      <c r="U54" s="12">
        <f t="shared" si="25"/>
        <v>1.4356081999999999E-2</v>
      </c>
      <c r="AE54" s="30"/>
      <c r="AJ54" s="12">
        <f t="shared" si="26"/>
        <v>0</v>
      </c>
      <c r="AL54" s="1" t="s">
        <v>101</v>
      </c>
      <c r="AM54" s="1" t="s">
        <v>101</v>
      </c>
      <c r="AN54" s="29" t="s">
        <v>98</v>
      </c>
      <c r="AW54" s="12">
        <f t="shared" si="27"/>
        <v>7.4230000000000004E-2</v>
      </c>
      <c r="AX54" s="12"/>
      <c r="AY54" s="12"/>
      <c r="AZ54" s="12">
        <f t="shared" si="28"/>
        <v>7.4230000000000004E-2</v>
      </c>
      <c r="BA54" s="12">
        <v>7.4230000000000004E-2</v>
      </c>
      <c r="BB54" s="7"/>
      <c r="BC54" s="12"/>
      <c r="BD54" s="12">
        <f t="shared" si="29"/>
        <v>7.4230000000000004E-2</v>
      </c>
      <c r="BE54" s="12"/>
      <c r="BF54" s="7"/>
      <c r="BG54" s="12"/>
      <c r="BH54" s="12">
        <f t="shared" si="30"/>
        <v>0</v>
      </c>
      <c r="BI54" s="7"/>
    </row>
    <row r="55" spans="1:61">
      <c r="A55" t="s">
        <v>181</v>
      </c>
      <c r="B55" t="s">
        <v>182</v>
      </c>
      <c r="C55" t="s">
        <v>183</v>
      </c>
      <c r="G55" s="31">
        <v>44176</v>
      </c>
      <c r="H55" s="31">
        <v>44175</v>
      </c>
      <c r="I55" s="31">
        <v>44182</v>
      </c>
      <c r="J55" s="12">
        <f t="shared" si="22"/>
        <v>5.735260000000002</v>
      </c>
      <c r="M55" s="12">
        <f t="shared" si="23"/>
        <v>5.735260000000002</v>
      </c>
      <c r="O55" s="7">
        <v>5.735260000000002</v>
      </c>
      <c r="Q55" s="12">
        <f t="shared" si="24"/>
        <v>5.735260000000002</v>
      </c>
      <c r="S55" s="7">
        <f>O55*0.1934</f>
        <v>1.1091992840000002</v>
      </c>
      <c r="U55" s="12">
        <f t="shared" si="25"/>
        <v>1.1091992840000002</v>
      </c>
      <c r="AE55" s="30"/>
      <c r="AJ55" s="12">
        <f t="shared" si="26"/>
        <v>0</v>
      </c>
      <c r="AL55" s="1" t="s">
        <v>101</v>
      </c>
      <c r="AM55" s="1" t="s">
        <v>101</v>
      </c>
      <c r="AN55" s="29" t="s">
        <v>98</v>
      </c>
      <c r="AW55" s="12">
        <f t="shared" si="27"/>
        <v>5.735260000000002</v>
      </c>
      <c r="AX55" s="12"/>
      <c r="AY55" s="12"/>
      <c r="AZ55" s="12">
        <f t="shared" si="28"/>
        <v>5.735260000000002</v>
      </c>
      <c r="BA55" s="12"/>
      <c r="BB55" s="7">
        <v>5.735260000000002</v>
      </c>
      <c r="BC55" s="12"/>
      <c r="BD55" s="12">
        <f t="shared" si="29"/>
        <v>5.735260000000002</v>
      </c>
      <c r="BE55" s="12"/>
      <c r="BF55" s="7"/>
      <c r="BG55" s="12"/>
      <c r="BH55" s="12">
        <f t="shared" si="30"/>
        <v>0</v>
      </c>
      <c r="BI55" s="7"/>
    </row>
    <row r="56" spans="1:61">
      <c r="A56" t="s">
        <v>184</v>
      </c>
      <c r="B56" t="s">
        <v>185</v>
      </c>
      <c r="C56" t="s">
        <v>186</v>
      </c>
      <c r="E56" t="s">
        <v>95</v>
      </c>
      <c r="G56" s="31">
        <v>43915</v>
      </c>
      <c r="H56" s="31">
        <v>43914</v>
      </c>
      <c r="I56" s="31">
        <v>43921</v>
      </c>
      <c r="J56" s="12">
        <f t="shared" si="22"/>
        <v>7.9799999999999996E-2</v>
      </c>
      <c r="M56" s="12">
        <f t="shared" si="23"/>
        <v>7.9799999999999996E-2</v>
      </c>
      <c r="N56" s="12">
        <f>0.0798-Z56</f>
        <v>4.2780799999999994E-2</v>
      </c>
      <c r="Q56" s="12">
        <f t="shared" si="24"/>
        <v>4.2780799999999994E-2</v>
      </c>
      <c r="R56" s="12">
        <f t="shared" ref="R56:R62" si="31">N56*1</f>
        <v>4.2780799999999994E-2</v>
      </c>
      <c r="U56" s="12">
        <f t="shared" si="25"/>
        <v>4.2780799999999994E-2</v>
      </c>
      <c r="Z56" s="12">
        <v>3.7019200000000002E-2</v>
      </c>
      <c r="AE56" s="30"/>
      <c r="AJ56" s="12">
        <f t="shared" si="26"/>
        <v>0</v>
      </c>
      <c r="AL56" s="1" t="s">
        <v>101</v>
      </c>
      <c r="AM56" s="1" t="s">
        <v>101</v>
      </c>
      <c r="AN56" s="29" t="s">
        <v>98</v>
      </c>
      <c r="AW56" s="12">
        <f t="shared" si="27"/>
        <v>7.980000000000001E-2</v>
      </c>
      <c r="AX56" s="12"/>
      <c r="AY56" s="12"/>
      <c r="AZ56" s="12">
        <f t="shared" si="28"/>
        <v>7.980000000000001E-2</v>
      </c>
      <c r="BA56" s="12">
        <v>7.980000000000001E-2</v>
      </c>
      <c r="BB56" s="7"/>
      <c r="BC56" s="12"/>
      <c r="BD56" s="12">
        <f t="shared" si="29"/>
        <v>7.980000000000001E-2</v>
      </c>
      <c r="BE56" s="12"/>
      <c r="BF56" s="7"/>
      <c r="BG56" s="12"/>
      <c r="BH56" s="12">
        <f t="shared" si="30"/>
        <v>0</v>
      </c>
      <c r="BI56" s="7"/>
    </row>
    <row r="57" spans="1:61">
      <c r="A57" t="s">
        <v>184</v>
      </c>
      <c r="B57" t="s">
        <v>185</v>
      </c>
      <c r="C57" t="s">
        <v>186</v>
      </c>
      <c r="E57" t="s">
        <v>95</v>
      </c>
      <c r="G57" s="31">
        <v>44006</v>
      </c>
      <c r="H57" s="31">
        <v>44005</v>
      </c>
      <c r="I57" s="31">
        <v>44012</v>
      </c>
      <c r="J57" s="12">
        <f t="shared" ref="J57:J120" si="32">K57+L57+M57</f>
        <v>2.1000000000000001E-4</v>
      </c>
      <c r="M57" s="12">
        <f t="shared" ref="M57:M120" si="33">N57+O57+V57+Z57+AB57+AD57</f>
        <v>2.1000000000000001E-4</v>
      </c>
      <c r="N57" s="12">
        <f>0.00021-Z57</f>
        <v>1.1258000000000001E-4</v>
      </c>
      <c r="Q57" s="12">
        <f t="shared" ref="Q57:Q120" si="34">N57+O57+P57</f>
        <v>1.1258000000000001E-4</v>
      </c>
      <c r="R57" s="12">
        <f t="shared" si="31"/>
        <v>1.1258000000000001E-4</v>
      </c>
      <c r="U57" s="12">
        <f t="shared" ref="U57:U120" si="35">R57+S57+T57</f>
        <v>1.1258000000000001E-4</v>
      </c>
      <c r="Z57" s="12">
        <v>9.7419999999999999E-5</v>
      </c>
      <c r="AE57" s="30"/>
      <c r="AJ57" s="12">
        <f t="shared" ref="AJ57:AJ120" si="36">AG57+AH57+AI57</f>
        <v>0</v>
      </c>
      <c r="AL57" s="1" t="s">
        <v>101</v>
      </c>
      <c r="AM57" s="1" t="s">
        <v>101</v>
      </c>
      <c r="AN57" s="29" t="s">
        <v>98</v>
      </c>
      <c r="AW57" s="12">
        <f t="shared" si="27"/>
        <v>2.1000000000000001E-4</v>
      </c>
      <c r="AX57" s="12"/>
      <c r="AY57" s="12"/>
      <c r="AZ57" s="12">
        <f t="shared" si="28"/>
        <v>2.1000000000000001E-4</v>
      </c>
      <c r="BA57" s="12">
        <v>2.1000000000000001E-4</v>
      </c>
      <c r="BB57" s="7"/>
      <c r="BC57" s="12"/>
      <c r="BD57" s="12">
        <f t="shared" si="29"/>
        <v>2.1000000000000001E-4</v>
      </c>
      <c r="BE57" s="12"/>
      <c r="BF57" s="7"/>
      <c r="BG57" s="12"/>
      <c r="BH57" s="12">
        <f t="shared" si="30"/>
        <v>0</v>
      </c>
      <c r="BI57" s="7"/>
    </row>
    <row r="58" spans="1:61">
      <c r="A58" t="s">
        <v>184</v>
      </c>
      <c r="B58" t="s">
        <v>185</v>
      </c>
      <c r="C58" t="s">
        <v>186</v>
      </c>
      <c r="E58" t="s">
        <v>95</v>
      </c>
      <c r="G58" s="31">
        <v>44097</v>
      </c>
      <c r="H58" s="31">
        <v>44096</v>
      </c>
      <c r="I58" s="31">
        <v>44103</v>
      </c>
      <c r="J58" s="12">
        <f t="shared" si="32"/>
        <v>3.8000000000000002E-4</v>
      </c>
      <c r="M58" s="12">
        <f t="shared" si="33"/>
        <v>3.8000000000000002E-4</v>
      </c>
      <c r="N58" s="12">
        <f>0.00038-Z58</f>
        <v>2.0372000000000001E-4</v>
      </c>
      <c r="Q58" s="12">
        <f t="shared" si="34"/>
        <v>2.0372000000000001E-4</v>
      </c>
      <c r="R58" s="12">
        <f t="shared" si="31"/>
        <v>2.0372000000000001E-4</v>
      </c>
      <c r="U58" s="12">
        <f t="shared" si="35"/>
        <v>2.0372000000000001E-4</v>
      </c>
      <c r="Z58" s="12">
        <v>1.7628000000000001E-4</v>
      </c>
      <c r="AE58" s="30"/>
      <c r="AJ58" s="12">
        <f t="shared" si="36"/>
        <v>0</v>
      </c>
      <c r="AL58" s="1" t="s">
        <v>101</v>
      </c>
      <c r="AM58" s="1" t="s">
        <v>101</v>
      </c>
      <c r="AN58" s="29" t="s">
        <v>98</v>
      </c>
      <c r="AW58" s="12">
        <f t="shared" si="27"/>
        <v>3.7999999999999997E-4</v>
      </c>
      <c r="AX58" s="12"/>
      <c r="AY58" s="12"/>
      <c r="AZ58" s="12">
        <f t="shared" si="28"/>
        <v>3.7999999999999997E-4</v>
      </c>
      <c r="BA58" s="12">
        <v>3.7999999999999997E-4</v>
      </c>
      <c r="BB58" s="7"/>
      <c r="BC58" s="12"/>
      <c r="BD58" s="12">
        <f t="shared" si="29"/>
        <v>3.7999999999999997E-4</v>
      </c>
      <c r="BE58" s="12"/>
      <c r="BF58" s="7"/>
      <c r="BG58" s="12"/>
      <c r="BH58" s="12">
        <f t="shared" si="30"/>
        <v>0</v>
      </c>
      <c r="BI58" s="7"/>
    </row>
    <row r="59" spans="1:61">
      <c r="A59" t="s">
        <v>184</v>
      </c>
      <c r="B59" t="s">
        <v>185</v>
      </c>
      <c r="C59" t="s">
        <v>186</v>
      </c>
      <c r="G59" s="31">
        <v>44188</v>
      </c>
      <c r="H59" s="31">
        <v>44187</v>
      </c>
      <c r="I59" s="31">
        <v>44195</v>
      </c>
      <c r="J59" s="12">
        <f t="shared" si="32"/>
        <v>1.1999999999999999E-3</v>
      </c>
      <c r="M59" s="12">
        <f t="shared" si="33"/>
        <v>1.1999999999999999E-3</v>
      </c>
      <c r="N59" s="12">
        <v>1.1999999999999999E-3</v>
      </c>
      <c r="Q59" s="12">
        <f t="shared" si="34"/>
        <v>1.1999999999999999E-3</v>
      </c>
      <c r="R59" s="12">
        <f t="shared" si="31"/>
        <v>1.1999999999999999E-3</v>
      </c>
      <c r="U59" s="12">
        <f t="shared" si="35"/>
        <v>1.1999999999999999E-3</v>
      </c>
      <c r="AE59" s="30"/>
      <c r="AJ59" s="12">
        <f t="shared" si="36"/>
        <v>0</v>
      </c>
      <c r="AL59" s="1" t="s">
        <v>101</v>
      </c>
      <c r="AM59" s="1" t="s">
        <v>101</v>
      </c>
      <c r="AN59" s="29" t="s">
        <v>98</v>
      </c>
      <c r="AW59" s="12">
        <f t="shared" si="27"/>
        <v>1.1999999999999999E-3</v>
      </c>
      <c r="AX59" s="12"/>
      <c r="AY59" s="12"/>
      <c r="AZ59" s="12">
        <f t="shared" si="28"/>
        <v>1.1999999999999999E-3</v>
      </c>
      <c r="BA59" s="12">
        <v>1.1999999999999999E-3</v>
      </c>
      <c r="BB59" s="7"/>
      <c r="BC59" s="12"/>
      <c r="BD59" s="12">
        <f t="shared" si="29"/>
        <v>1.1999999999999999E-3</v>
      </c>
      <c r="BE59" s="12"/>
      <c r="BF59" s="7"/>
      <c r="BG59" s="12"/>
      <c r="BH59" s="12">
        <f t="shared" si="30"/>
        <v>0</v>
      </c>
      <c r="BI59" s="7"/>
    </row>
    <row r="60" spans="1:61">
      <c r="A60" t="s">
        <v>187</v>
      </c>
      <c r="B60" t="s">
        <v>188</v>
      </c>
      <c r="C60" t="s">
        <v>189</v>
      </c>
      <c r="E60" t="s">
        <v>95</v>
      </c>
      <c r="G60" s="31">
        <v>43915</v>
      </c>
      <c r="H60" s="31">
        <v>43914</v>
      </c>
      <c r="I60" s="31">
        <v>43921</v>
      </c>
      <c r="J60" s="12">
        <f t="shared" si="32"/>
        <v>6.7999999999999996E-3</v>
      </c>
      <c r="M60" s="12">
        <f t="shared" si="33"/>
        <v>6.7999999999999996E-3</v>
      </c>
      <c r="N60" s="12">
        <f>0.0068-Z60</f>
        <v>3.6371599999999995E-3</v>
      </c>
      <c r="Q60" s="12">
        <f t="shared" si="34"/>
        <v>3.6371599999999995E-3</v>
      </c>
      <c r="R60" s="12">
        <f t="shared" si="31"/>
        <v>3.6371599999999995E-3</v>
      </c>
      <c r="U60" s="12">
        <f t="shared" si="35"/>
        <v>3.6371599999999995E-3</v>
      </c>
      <c r="Z60" s="12">
        <v>3.1628400000000001E-3</v>
      </c>
      <c r="AE60" s="30"/>
      <c r="AJ60" s="12">
        <f t="shared" si="36"/>
        <v>0</v>
      </c>
      <c r="AL60" s="1" t="s">
        <v>101</v>
      </c>
      <c r="AM60" s="1" t="s">
        <v>101</v>
      </c>
      <c r="AN60" s="29" t="s">
        <v>98</v>
      </c>
      <c r="AW60" s="12">
        <f t="shared" si="27"/>
        <v>6.8000000000000005E-3</v>
      </c>
      <c r="AX60" s="12"/>
      <c r="AY60" s="12"/>
      <c r="AZ60" s="12">
        <f t="shared" si="28"/>
        <v>6.8000000000000005E-3</v>
      </c>
      <c r="BA60" s="12">
        <v>6.8000000000000005E-3</v>
      </c>
      <c r="BB60" s="7"/>
      <c r="BC60" s="12"/>
      <c r="BD60" s="12">
        <f t="shared" si="29"/>
        <v>6.8000000000000005E-3</v>
      </c>
      <c r="BE60" s="12"/>
      <c r="BF60" s="7"/>
      <c r="BG60" s="12"/>
      <c r="BH60" s="12">
        <f t="shared" si="30"/>
        <v>0</v>
      </c>
      <c r="BI60" s="7"/>
    </row>
    <row r="61" spans="1:61">
      <c r="A61" t="s">
        <v>187</v>
      </c>
      <c r="B61" t="s">
        <v>188</v>
      </c>
      <c r="C61" t="s">
        <v>189</v>
      </c>
      <c r="E61" t="s">
        <v>95</v>
      </c>
      <c r="G61" s="31">
        <v>44006</v>
      </c>
      <c r="H61" s="31">
        <v>44005</v>
      </c>
      <c r="I61" s="31">
        <v>44012</v>
      </c>
      <c r="J61" s="12">
        <f t="shared" si="32"/>
        <v>0.34908</v>
      </c>
      <c r="M61" s="12">
        <f t="shared" si="33"/>
        <v>0.34908</v>
      </c>
      <c r="N61" s="12">
        <f>0.34908-Z61</f>
        <v>0.18671467</v>
      </c>
      <c r="Q61" s="12">
        <f t="shared" si="34"/>
        <v>0.18671467</v>
      </c>
      <c r="R61" s="12">
        <f t="shared" si="31"/>
        <v>0.18671467</v>
      </c>
      <c r="U61" s="12">
        <f t="shared" si="35"/>
        <v>0.18671467</v>
      </c>
      <c r="Z61" s="12">
        <v>0.16236533</v>
      </c>
      <c r="AE61" s="30"/>
      <c r="AJ61" s="12">
        <f t="shared" si="36"/>
        <v>0</v>
      </c>
      <c r="AL61" s="1" t="s">
        <v>101</v>
      </c>
      <c r="AM61" s="1" t="s">
        <v>101</v>
      </c>
      <c r="AN61" s="29" t="s">
        <v>98</v>
      </c>
      <c r="AW61" s="12">
        <f t="shared" si="27"/>
        <v>0.34908000000000006</v>
      </c>
      <c r="AX61" s="12"/>
      <c r="AY61" s="12"/>
      <c r="AZ61" s="12">
        <f t="shared" si="28"/>
        <v>0.34908000000000006</v>
      </c>
      <c r="BA61" s="12">
        <v>0.34908000000000006</v>
      </c>
      <c r="BB61" s="7"/>
      <c r="BC61" s="12"/>
      <c r="BD61" s="12">
        <f t="shared" si="29"/>
        <v>0.34908000000000006</v>
      </c>
      <c r="BE61" s="12"/>
      <c r="BF61" s="7"/>
      <c r="BG61" s="12"/>
      <c r="BH61" s="12">
        <f t="shared" si="30"/>
        <v>0</v>
      </c>
      <c r="BI61" s="7"/>
    </row>
    <row r="62" spans="1:61">
      <c r="A62" t="s">
        <v>187</v>
      </c>
      <c r="B62" t="s">
        <v>188</v>
      </c>
      <c r="C62" t="s">
        <v>189</v>
      </c>
      <c r="G62" s="31">
        <v>44188</v>
      </c>
      <c r="H62" s="31">
        <v>44187</v>
      </c>
      <c r="I62" s="31">
        <v>44195</v>
      </c>
      <c r="J62" s="12">
        <f t="shared" si="32"/>
        <v>0.32217000000000007</v>
      </c>
      <c r="M62" s="12">
        <f t="shared" si="33"/>
        <v>0.32217000000000007</v>
      </c>
      <c r="N62" s="12">
        <v>0.32217000000000007</v>
      </c>
      <c r="Q62" s="12">
        <f t="shared" si="34"/>
        <v>0.32217000000000007</v>
      </c>
      <c r="R62" s="12">
        <f t="shared" si="31"/>
        <v>0.32217000000000007</v>
      </c>
      <c r="U62" s="12">
        <f t="shared" si="35"/>
        <v>0.32217000000000007</v>
      </c>
      <c r="AE62" s="30"/>
      <c r="AJ62" s="12">
        <f t="shared" si="36"/>
        <v>0</v>
      </c>
      <c r="AL62" s="1" t="s">
        <v>101</v>
      </c>
      <c r="AM62" s="1" t="s">
        <v>101</v>
      </c>
      <c r="AN62" s="29" t="s">
        <v>98</v>
      </c>
      <c r="AW62" s="12">
        <f t="shared" si="27"/>
        <v>0.32217000000000007</v>
      </c>
      <c r="AX62" s="12"/>
      <c r="AY62" s="12"/>
      <c r="AZ62" s="12">
        <f t="shared" si="28"/>
        <v>0.32217000000000007</v>
      </c>
      <c r="BA62" s="12">
        <v>0.32217000000000007</v>
      </c>
      <c r="BB62" s="7"/>
      <c r="BC62" s="12"/>
      <c r="BD62" s="12">
        <f t="shared" si="29"/>
        <v>0.32217000000000007</v>
      </c>
      <c r="BE62" s="12"/>
      <c r="BF62" s="7"/>
      <c r="BG62" s="12"/>
      <c r="BH62" s="12">
        <f t="shared" si="30"/>
        <v>0</v>
      </c>
      <c r="BI62" s="7"/>
    </row>
    <row r="63" spans="1:61">
      <c r="A63" t="s">
        <v>190</v>
      </c>
      <c r="B63" t="s">
        <v>191</v>
      </c>
      <c r="C63" t="s">
        <v>192</v>
      </c>
      <c r="G63" s="31">
        <v>43915</v>
      </c>
      <c r="H63" s="31">
        <v>43914</v>
      </c>
      <c r="I63" s="31">
        <v>43921</v>
      </c>
      <c r="J63" s="12">
        <f t="shared" si="32"/>
        <v>3.5459999999999992E-2</v>
      </c>
      <c r="M63" s="12">
        <f t="shared" si="33"/>
        <v>3.5459999999999992E-2</v>
      </c>
      <c r="N63" s="12">
        <v>3.5459999999999992E-2</v>
      </c>
      <c r="Q63" s="12">
        <f t="shared" si="34"/>
        <v>3.5459999999999992E-2</v>
      </c>
      <c r="R63" s="12">
        <f>N63*0.0197</f>
        <v>6.9856199999999979E-4</v>
      </c>
      <c r="U63" s="12">
        <f t="shared" si="35"/>
        <v>6.9856199999999979E-4</v>
      </c>
      <c r="AE63" s="30"/>
      <c r="AJ63" s="12">
        <f t="shared" si="36"/>
        <v>0</v>
      </c>
      <c r="AL63" s="1" t="s">
        <v>101</v>
      </c>
      <c r="AM63" s="1" t="s">
        <v>101</v>
      </c>
      <c r="AN63" s="29" t="s">
        <v>98</v>
      </c>
      <c r="AW63" s="12">
        <f t="shared" si="27"/>
        <v>3.5459999999999992E-2</v>
      </c>
      <c r="AX63" s="12"/>
      <c r="AY63" s="12"/>
      <c r="AZ63" s="12">
        <f t="shared" si="28"/>
        <v>3.5459999999999992E-2</v>
      </c>
      <c r="BA63" s="12">
        <v>3.5459999999999992E-2</v>
      </c>
      <c r="BB63" s="7"/>
      <c r="BC63" s="12"/>
      <c r="BD63" s="12">
        <f t="shared" si="29"/>
        <v>3.5459999999999992E-2</v>
      </c>
      <c r="BE63" s="12"/>
      <c r="BF63" s="7"/>
      <c r="BG63" s="12"/>
      <c r="BH63" s="12">
        <f t="shared" si="30"/>
        <v>0</v>
      </c>
      <c r="BI63" s="7"/>
    </row>
    <row r="64" spans="1:61">
      <c r="A64" t="s">
        <v>193</v>
      </c>
      <c r="B64" t="s">
        <v>194</v>
      </c>
      <c r="C64" t="s">
        <v>195</v>
      </c>
      <c r="E64" t="s">
        <v>95</v>
      </c>
      <c r="G64" s="31">
        <v>43915</v>
      </c>
      <c r="H64" s="31">
        <v>43914</v>
      </c>
      <c r="I64" s="31">
        <v>43921</v>
      </c>
      <c r="J64" s="12">
        <f t="shared" si="32"/>
        <v>6.3299999999999995E-2</v>
      </c>
      <c r="M64" s="12">
        <f t="shared" si="33"/>
        <v>6.3299999999999995E-2</v>
      </c>
      <c r="N64" s="12">
        <f>0.0633-Z64</f>
        <v>2.4786959999999997E-2</v>
      </c>
      <c r="Q64" s="12">
        <f t="shared" si="34"/>
        <v>2.4786959999999997E-2</v>
      </c>
      <c r="U64" s="12">
        <f t="shared" si="35"/>
        <v>0</v>
      </c>
      <c r="Z64" s="12">
        <v>3.8513039999999998E-2</v>
      </c>
      <c r="AE64" s="30"/>
      <c r="AJ64" s="12">
        <f t="shared" si="36"/>
        <v>0</v>
      </c>
      <c r="AL64" s="1" t="s">
        <v>101</v>
      </c>
      <c r="AM64" s="1" t="s">
        <v>101</v>
      </c>
      <c r="AN64" s="29" t="s">
        <v>98</v>
      </c>
      <c r="AW64" s="12">
        <f t="shared" si="27"/>
        <v>6.3299999999999967E-2</v>
      </c>
      <c r="AX64" s="12"/>
      <c r="AY64" s="12"/>
      <c r="AZ64" s="12">
        <f t="shared" si="28"/>
        <v>6.3299999999999967E-2</v>
      </c>
      <c r="BA64" s="12">
        <v>6.3299999999999967E-2</v>
      </c>
      <c r="BB64" s="7"/>
      <c r="BC64" s="12"/>
      <c r="BD64" s="12">
        <f t="shared" si="29"/>
        <v>6.3299999999999967E-2</v>
      </c>
      <c r="BE64" s="12"/>
      <c r="BF64" s="7"/>
      <c r="BG64" s="12"/>
      <c r="BH64" s="12">
        <f t="shared" si="30"/>
        <v>0</v>
      </c>
      <c r="BI64" s="7"/>
    </row>
    <row r="65" spans="1:61">
      <c r="A65" t="s">
        <v>196</v>
      </c>
      <c r="B65" t="s">
        <v>197</v>
      </c>
      <c r="C65" t="s">
        <v>198</v>
      </c>
      <c r="E65" t="s">
        <v>95</v>
      </c>
      <c r="G65" s="31">
        <v>43915</v>
      </c>
      <c r="H65" s="31">
        <v>43914</v>
      </c>
      <c r="I65" s="31">
        <v>43921</v>
      </c>
      <c r="J65" s="12">
        <f t="shared" si="32"/>
        <v>2.6960000000000001E-2</v>
      </c>
      <c r="M65" s="12">
        <f t="shared" si="33"/>
        <v>2.6960000000000001E-2</v>
      </c>
      <c r="N65" s="12">
        <f>0.02696-Z65</f>
        <v>1.5526820000000002E-2</v>
      </c>
      <c r="Q65" s="12">
        <f t="shared" si="34"/>
        <v>1.5526820000000002E-2</v>
      </c>
      <c r="R65" s="12">
        <f>N65*0.8896</f>
        <v>1.3812659072000001E-2</v>
      </c>
      <c r="U65" s="12">
        <f t="shared" si="35"/>
        <v>1.3812659072000001E-2</v>
      </c>
      <c r="Z65" s="12">
        <v>1.1433179999999999E-2</v>
      </c>
      <c r="AE65" s="30"/>
      <c r="AJ65" s="12">
        <f t="shared" si="36"/>
        <v>0</v>
      </c>
      <c r="AL65" s="1" t="s">
        <v>101</v>
      </c>
      <c r="AM65" s="1" t="s">
        <v>101</v>
      </c>
      <c r="AN65" s="29" t="s">
        <v>98</v>
      </c>
      <c r="AW65" s="12">
        <f t="shared" si="27"/>
        <v>2.6959999999999998E-2</v>
      </c>
      <c r="AX65" s="12"/>
      <c r="AY65" s="12"/>
      <c r="AZ65" s="12">
        <f t="shared" si="28"/>
        <v>2.6959999999999998E-2</v>
      </c>
      <c r="BA65" s="12">
        <v>2.6959999999999998E-2</v>
      </c>
      <c r="BB65" s="7"/>
      <c r="BC65" s="12"/>
      <c r="BD65" s="12">
        <f t="shared" si="29"/>
        <v>2.6959999999999998E-2</v>
      </c>
      <c r="BE65" s="12"/>
      <c r="BF65" s="7"/>
      <c r="BG65" s="12"/>
      <c r="BH65" s="12">
        <f t="shared" si="30"/>
        <v>0</v>
      </c>
      <c r="BI65" s="7"/>
    </row>
    <row r="66" spans="1:61">
      <c r="A66" t="s">
        <v>196</v>
      </c>
      <c r="B66" t="s">
        <v>197</v>
      </c>
      <c r="C66" t="s">
        <v>198</v>
      </c>
      <c r="E66" t="s">
        <v>95</v>
      </c>
      <c r="G66" s="31">
        <v>44006</v>
      </c>
      <c r="H66" s="31">
        <v>44005</v>
      </c>
      <c r="I66" s="31">
        <v>44012</v>
      </c>
      <c r="J66" s="12">
        <f t="shared" si="32"/>
        <v>8.8400000000000006E-3</v>
      </c>
      <c r="M66" s="12">
        <f t="shared" si="33"/>
        <v>8.8400000000000006E-3</v>
      </c>
      <c r="N66" s="12">
        <f>0.00884-Z66</f>
        <v>5.0911400000000009E-3</v>
      </c>
      <c r="Q66" s="12">
        <f t="shared" si="34"/>
        <v>5.0911400000000009E-3</v>
      </c>
      <c r="R66" s="12">
        <f>N66*0.8896</f>
        <v>4.5290781440000009E-3</v>
      </c>
      <c r="U66" s="12">
        <f t="shared" si="35"/>
        <v>4.5290781440000009E-3</v>
      </c>
      <c r="Z66" s="12">
        <v>3.7488600000000001E-3</v>
      </c>
      <c r="AE66" s="30"/>
      <c r="AJ66" s="12">
        <f t="shared" si="36"/>
        <v>0</v>
      </c>
      <c r="AL66" s="1" t="s">
        <v>101</v>
      </c>
      <c r="AM66" s="1" t="s">
        <v>101</v>
      </c>
      <c r="AN66" s="29" t="s">
        <v>98</v>
      </c>
      <c r="AW66" s="12">
        <f t="shared" si="27"/>
        <v>8.8399999999999989E-3</v>
      </c>
      <c r="AX66" s="12"/>
      <c r="AY66" s="12"/>
      <c r="AZ66" s="12">
        <f t="shared" si="28"/>
        <v>8.8399999999999989E-3</v>
      </c>
      <c r="BA66" s="12">
        <v>8.8399999999999989E-3</v>
      </c>
      <c r="BB66" s="7"/>
      <c r="BC66" s="12"/>
      <c r="BD66" s="12">
        <f t="shared" si="29"/>
        <v>8.8399999999999989E-3</v>
      </c>
      <c r="BE66" s="12"/>
      <c r="BF66" s="7"/>
      <c r="BG66" s="12"/>
      <c r="BH66" s="12">
        <f t="shared" si="30"/>
        <v>0</v>
      </c>
      <c r="BI66" s="7"/>
    </row>
    <row r="67" spans="1:61">
      <c r="A67" t="s">
        <v>199</v>
      </c>
      <c r="B67" t="s">
        <v>200</v>
      </c>
      <c r="C67" t="s">
        <v>201</v>
      </c>
      <c r="E67" t="s">
        <v>108</v>
      </c>
      <c r="G67" s="31">
        <v>43915</v>
      </c>
      <c r="H67" s="31">
        <v>43914</v>
      </c>
      <c r="I67" s="31">
        <v>43921</v>
      </c>
      <c r="J67" s="12">
        <f t="shared" si="32"/>
        <v>3.15E-2</v>
      </c>
      <c r="M67" s="12">
        <f t="shared" si="33"/>
        <v>3.15E-2</v>
      </c>
      <c r="N67" s="12">
        <f>0.0315-Z67</f>
        <v>2.0737699999999991E-3</v>
      </c>
      <c r="Q67" s="12">
        <f t="shared" si="34"/>
        <v>2.0737699999999991E-3</v>
      </c>
      <c r="U67" s="12">
        <f t="shared" si="35"/>
        <v>0</v>
      </c>
      <c r="Z67" s="12">
        <v>2.9426230000000001E-2</v>
      </c>
      <c r="AE67" s="30"/>
      <c r="AJ67" s="12">
        <f t="shared" si="36"/>
        <v>0</v>
      </c>
      <c r="AL67" s="1" t="s">
        <v>101</v>
      </c>
      <c r="AM67" s="1" t="s">
        <v>101</v>
      </c>
      <c r="AN67" s="29" t="s">
        <v>98</v>
      </c>
      <c r="AW67" s="12">
        <f t="shared" si="27"/>
        <v>3.15E-2</v>
      </c>
      <c r="AX67" s="12"/>
      <c r="AY67" s="12"/>
      <c r="AZ67" s="12">
        <f t="shared" si="28"/>
        <v>3.15E-2</v>
      </c>
      <c r="BA67" s="12">
        <v>3.15E-2</v>
      </c>
      <c r="BB67" s="7"/>
      <c r="BC67" s="12"/>
      <c r="BD67" s="12">
        <f t="shared" si="29"/>
        <v>3.15E-2</v>
      </c>
      <c r="BE67" s="12"/>
      <c r="BF67" s="7"/>
      <c r="BG67" s="12"/>
      <c r="BH67" s="12">
        <f t="shared" si="30"/>
        <v>0</v>
      </c>
      <c r="BI67" s="7"/>
    </row>
    <row r="68" spans="1:61">
      <c r="A68" t="s">
        <v>202</v>
      </c>
      <c r="B68" t="s">
        <v>203</v>
      </c>
      <c r="C68" t="s">
        <v>204</v>
      </c>
      <c r="E68" t="s">
        <v>95</v>
      </c>
      <c r="G68" s="31">
        <v>43915</v>
      </c>
      <c r="H68" s="31">
        <v>43914</v>
      </c>
      <c r="I68" s="31">
        <v>43921</v>
      </c>
      <c r="J68" s="12">
        <f t="shared" si="32"/>
        <v>8.5980000000000001E-2</v>
      </c>
      <c r="M68" s="12">
        <f t="shared" si="33"/>
        <v>8.5980000000000001E-2</v>
      </c>
      <c r="N68" s="12">
        <f>0.08598-Z68</f>
        <v>1.265299999999997E-3</v>
      </c>
      <c r="Q68" s="12">
        <f t="shared" si="34"/>
        <v>1.265299999999997E-3</v>
      </c>
      <c r="U68" s="12">
        <f t="shared" si="35"/>
        <v>0</v>
      </c>
      <c r="Z68" s="12">
        <v>8.4714700000000004E-2</v>
      </c>
      <c r="AE68" s="30"/>
      <c r="AJ68" s="12">
        <f t="shared" si="36"/>
        <v>0</v>
      </c>
      <c r="AL68" s="1" t="s">
        <v>101</v>
      </c>
      <c r="AM68" s="1" t="s">
        <v>101</v>
      </c>
      <c r="AN68" s="29" t="s">
        <v>98</v>
      </c>
      <c r="AW68" s="12">
        <f t="shared" si="27"/>
        <v>8.5979999999999987E-2</v>
      </c>
      <c r="AX68" s="12"/>
      <c r="AY68" s="12"/>
      <c r="AZ68" s="12">
        <f t="shared" si="28"/>
        <v>8.5979999999999987E-2</v>
      </c>
      <c r="BA68" s="12">
        <v>8.5979999999999987E-2</v>
      </c>
      <c r="BB68" s="7"/>
      <c r="BC68" s="12"/>
      <c r="BD68" s="12">
        <f t="shared" si="29"/>
        <v>8.5979999999999987E-2</v>
      </c>
      <c r="BE68" s="12"/>
      <c r="BF68" s="7"/>
      <c r="BG68" s="12"/>
      <c r="BH68" s="12">
        <f t="shared" si="30"/>
        <v>0</v>
      </c>
      <c r="BI68" s="7"/>
    </row>
    <row r="69" spans="1:61">
      <c r="A69" t="s">
        <v>205</v>
      </c>
      <c r="B69" t="s">
        <v>206</v>
      </c>
      <c r="C69" t="s">
        <v>207</v>
      </c>
      <c r="G69" s="31">
        <v>43915</v>
      </c>
      <c r="H69" s="31">
        <v>43914</v>
      </c>
      <c r="I69" s="31">
        <v>43921</v>
      </c>
      <c r="J69" s="12">
        <f t="shared" si="32"/>
        <v>0.39191999999999999</v>
      </c>
      <c r="M69" s="12">
        <f t="shared" si="33"/>
        <v>0.39191999999999999</v>
      </c>
      <c r="N69" s="12">
        <v>0.39191999999999999</v>
      </c>
      <c r="Q69" s="12">
        <f t="shared" si="34"/>
        <v>0.39191999999999999</v>
      </c>
      <c r="R69" s="12">
        <f>N69*1</f>
        <v>0.39191999999999999</v>
      </c>
      <c r="U69" s="12">
        <f t="shared" si="35"/>
        <v>0.39191999999999999</v>
      </c>
      <c r="AE69" s="30"/>
      <c r="AJ69" s="12">
        <f t="shared" si="36"/>
        <v>0</v>
      </c>
      <c r="AL69" s="1" t="s">
        <v>101</v>
      </c>
      <c r="AM69" s="1" t="s">
        <v>101</v>
      </c>
      <c r="AN69" s="29" t="s">
        <v>98</v>
      </c>
      <c r="AW69" s="12">
        <f t="shared" si="27"/>
        <v>0.39191999999999999</v>
      </c>
      <c r="AX69" s="12"/>
      <c r="AY69" s="12"/>
      <c r="AZ69" s="12">
        <f t="shared" si="28"/>
        <v>0.39191999999999999</v>
      </c>
      <c r="BA69" s="12">
        <v>0.39191999999999999</v>
      </c>
      <c r="BB69" s="7"/>
      <c r="BC69" s="12"/>
      <c r="BD69" s="12">
        <f t="shared" si="29"/>
        <v>0.39191999999999999</v>
      </c>
      <c r="BE69" s="12"/>
      <c r="BF69" s="7"/>
      <c r="BG69" s="12"/>
      <c r="BH69" s="12">
        <f t="shared" si="30"/>
        <v>0</v>
      </c>
      <c r="BI69" s="7"/>
    </row>
    <row r="70" spans="1:61">
      <c r="A70" t="s">
        <v>205</v>
      </c>
      <c r="B70" t="s">
        <v>206</v>
      </c>
      <c r="C70" t="s">
        <v>207</v>
      </c>
      <c r="G70" s="31">
        <v>44006</v>
      </c>
      <c r="H70" s="31">
        <v>44005</v>
      </c>
      <c r="I70" s="31">
        <v>44012</v>
      </c>
      <c r="J70" s="12">
        <f t="shared" si="32"/>
        <v>1.8749999999999999E-2</v>
      </c>
      <c r="M70" s="12">
        <f t="shared" si="33"/>
        <v>1.8749999999999999E-2</v>
      </c>
      <c r="N70" s="12">
        <v>1.8749999999999999E-2</v>
      </c>
      <c r="Q70" s="12">
        <f t="shared" si="34"/>
        <v>1.8749999999999999E-2</v>
      </c>
      <c r="R70" s="12">
        <f>N70*1</f>
        <v>1.8749999999999999E-2</v>
      </c>
      <c r="U70" s="12">
        <f t="shared" si="35"/>
        <v>1.8749999999999999E-2</v>
      </c>
      <c r="AE70" s="30"/>
      <c r="AJ70" s="12">
        <f t="shared" si="36"/>
        <v>0</v>
      </c>
      <c r="AL70" s="1" t="s">
        <v>101</v>
      </c>
      <c r="AM70" s="1" t="s">
        <v>101</v>
      </c>
      <c r="AN70" s="29" t="s">
        <v>98</v>
      </c>
      <c r="AW70" s="12">
        <f t="shared" ref="AW70:AW133" si="37">AX70+AY70+AZ70</f>
        <v>1.8749999999999999E-2</v>
      </c>
      <c r="AX70" s="12"/>
      <c r="AY70" s="12"/>
      <c r="AZ70" s="12">
        <f t="shared" ref="AZ70:AZ133" si="38">BA70+BB70+BI70+BM70+BO70+BQ70</f>
        <v>1.8749999999999999E-2</v>
      </c>
      <c r="BA70" s="12">
        <v>1.8749999999999999E-2</v>
      </c>
      <c r="BB70" s="7"/>
      <c r="BC70" s="12"/>
      <c r="BD70" s="12">
        <f t="shared" ref="BD70:BD133" si="39">BA70+BB70+BC70</f>
        <v>1.8749999999999999E-2</v>
      </c>
      <c r="BE70" s="12"/>
      <c r="BF70" s="7"/>
      <c r="BG70" s="12"/>
      <c r="BH70" s="12">
        <f t="shared" ref="BH70:BH133" si="40">BE70+BF70+BG70</f>
        <v>0</v>
      </c>
      <c r="BI70" s="7"/>
    </row>
    <row r="71" spans="1:61">
      <c r="A71" t="s">
        <v>208</v>
      </c>
      <c r="B71" t="s">
        <v>209</v>
      </c>
      <c r="C71" t="s">
        <v>210</v>
      </c>
      <c r="E71" t="s">
        <v>95</v>
      </c>
      <c r="G71" s="31">
        <v>43915</v>
      </c>
      <c r="H71" s="31">
        <v>43914</v>
      </c>
      <c r="I71" s="31">
        <v>43921</v>
      </c>
      <c r="J71" s="12">
        <f t="shared" si="32"/>
        <v>0.14963000000000001</v>
      </c>
      <c r="M71" s="12">
        <f t="shared" si="33"/>
        <v>0.14963000000000001</v>
      </c>
      <c r="N71" s="12">
        <f>0.14963-Z71</f>
        <v>3.9264500000000258E-3</v>
      </c>
      <c r="Q71" s="12">
        <f t="shared" si="34"/>
        <v>3.9264500000000258E-3</v>
      </c>
      <c r="U71" s="12">
        <f t="shared" si="35"/>
        <v>0</v>
      </c>
      <c r="Z71" s="12">
        <v>0.14570354999999999</v>
      </c>
      <c r="AE71" s="30"/>
      <c r="AJ71" s="12">
        <f t="shared" si="36"/>
        <v>0</v>
      </c>
      <c r="AL71" s="1" t="s">
        <v>101</v>
      </c>
      <c r="AM71" s="1" t="s">
        <v>101</v>
      </c>
      <c r="AN71" s="29" t="s">
        <v>98</v>
      </c>
      <c r="AW71" s="12">
        <f t="shared" si="37"/>
        <v>0.14963000000000001</v>
      </c>
      <c r="AX71" s="12"/>
      <c r="AY71" s="12"/>
      <c r="AZ71" s="12">
        <f t="shared" si="38"/>
        <v>0.14963000000000001</v>
      </c>
      <c r="BA71" s="12">
        <v>0.14963000000000001</v>
      </c>
      <c r="BB71" s="7"/>
      <c r="BC71" s="12"/>
      <c r="BD71" s="12">
        <f t="shared" si="39"/>
        <v>0.14963000000000001</v>
      </c>
      <c r="BE71" s="12"/>
      <c r="BF71" s="7"/>
      <c r="BG71" s="12"/>
      <c r="BH71" s="12">
        <f t="shared" si="40"/>
        <v>0</v>
      </c>
      <c r="BI71" s="7"/>
    </row>
    <row r="72" spans="1:61">
      <c r="A72" t="s">
        <v>211</v>
      </c>
      <c r="B72" t="s">
        <v>212</v>
      </c>
      <c r="C72" t="s">
        <v>213</v>
      </c>
      <c r="G72" s="31">
        <v>44006</v>
      </c>
      <c r="H72" s="31">
        <v>44005</v>
      </c>
      <c r="I72" s="31">
        <v>44012</v>
      </c>
      <c r="J72" s="12">
        <f t="shared" si="32"/>
        <v>0.16120000000000001</v>
      </c>
      <c r="M72" s="12">
        <f t="shared" si="33"/>
        <v>0.16120000000000001</v>
      </c>
      <c r="N72" s="12">
        <v>0.16120000000000001</v>
      </c>
      <c r="Q72" s="12">
        <f t="shared" si="34"/>
        <v>0.16120000000000001</v>
      </c>
      <c r="R72" s="12">
        <f>N72*1</f>
        <v>0.16120000000000001</v>
      </c>
      <c r="U72" s="12">
        <f t="shared" si="35"/>
        <v>0.16120000000000001</v>
      </c>
      <c r="AE72" s="30"/>
      <c r="AJ72" s="12">
        <f t="shared" si="36"/>
        <v>0</v>
      </c>
      <c r="AL72" s="1" t="s">
        <v>101</v>
      </c>
      <c r="AM72" s="1" t="s">
        <v>101</v>
      </c>
      <c r="AN72" s="29" t="s">
        <v>98</v>
      </c>
      <c r="AW72" s="12">
        <f t="shared" si="37"/>
        <v>0.16120000000000001</v>
      </c>
      <c r="AX72" s="12"/>
      <c r="AY72" s="12"/>
      <c r="AZ72" s="12">
        <f t="shared" si="38"/>
        <v>0.16120000000000001</v>
      </c>
      <c r="BA72" s="12">
        <v>0.16120000000000001</v>
      </c>
      <c r="BB72" s="7"/>
      <c r="BC72" s="12"/>
      <c r="BD72" s="12">
        <f t="shared" si="39"/>
        <v>0.16120000000000001</v>
      </c>
      <c r="BE72" s="12"/>
      <c r="BF72" s="7"/>
      <c r="BG72" s="12"/>
      <c r="BH72" s="12">
        <f t="shared" si="40"/>
        <v>0</v>
      </c>
      <c r="BI72" s="7"/>
    </row>
    <row r="73" spans="1:61">
      <c r="A73" t="s">
        <v>211</v>
      </c>
      <c r="B73" t="s">
        <v>212</v>
      </c>
      <c r="C73" t="s">
        <v>213</v>
      </c>
      <c r="G73" s="31">
        <v>44097</v>
      </c>
      <c r="H73" s="31">
        <v>44096</v>
      </c>
      <c r="I73" s="31">
        <v>44103</v>
      </c>
      <c r="J73" s="12">
        <f t="shared" si="32"/>
        <v>0.10152999999999998</v>
      </c>
      <c r="M73" s="12">
        <f t="shared" si="33"/>
        <v>0.10152999999999998</v>
      </c>
      <c r="N73" s="12">
        <v>0.10152999999999998</v>
      </c>
      <c r="Q73" s="12">
        <f t="shared" si="34"/>
        <v>0.10152999999999998</v>
      </c>
      <c r="R73" s="12">
        <f>N73*1</f>
        <v>0.10152999999999998</v>
      </c>
      <c r="U73" s="12">
        <f t="shared" si="35"/>
        <v>0.10152999999999998</v>
      </c>
      <c r="AE73" s="30"/>
      <c r="AJ73" s="12">
        <f t="shared" si="36"/>
        <v>0</v>
      </c>
      <c r="AL73" s="1" t="s">
        <v>101</v>
      </c>
      <c r="AM73" s="1" t="s">
        <v>101</v>
      </c>
      <c r="AN73" s="29" t="s">
        <v>98</v>
      </c>
      <c r="AW73" s="12">
        <f t="shared" si="37"/>
        <v>0.10152999999999998</v>
      </c>
      <c r="AX73" s="12"/>
      <c r="AY73" s="12"/>
      <c r="AZ73" s="12">
        <f t="shared" si="38"/>
        <v>0.10152999999999998</v>
      </c>
      <c r="BA73" s="12">
        <v>0.10152999999999998</v>
      </c>
      <c r="BB73" s="7"/>
      <c r="BC73" s="12"/>
      <c r="BD73" s="12">
        <f t="shared" si="39"/>
        <v>0.10152999999999998</v>
      </c>
      <c r="BE73" s="12"/>
      <c r="BF73" s="7"/>
      <c r="BG73" s="12"/>
      <c r="BH73" s="12">
        <f t="shared" si="40"/>
        <v>0</v>
      </c>
      <c r="BI73" s="7"/>
    </row>
    <row r="74" spans="1:61">
      <c r="A74" t="s">
        <v>211</v>
      </c>
      <c r="B74" t="s">
        <v>212</v>
      </c>
      <c r="C74" t="s">
        <v>213</v>
      </c>
      <c r="G74" s="31">
        <v>44188</v>
      </c>
      <c r="H74" s="31">
        <v>44187</v>
      </c>
      <c r="I74" s="31">
        <v>44195</v>
      </c>
      <c r="J74" s="12">
        <f t="shared" si="32"/>
        <v>7.4329999999999979E-2</v>
      </c>
      <c r="M74" s="12">
        <f t="shared" si="33"/>
        <v>7.4329999999999979E-2</v>
      </c>
      <c r="N74" s="12">
        <v>7.4329999999999979E-2</v>
      </c>
      <c r="Q74" s="12">
        <f t="shared" si="34"/>
        <v>7.4329999999999979E-2</v>
      </c>
      <c r="R74" s="12">
        <f>N74*1</f>
        <v>7.4329999999999979E-2</v>
      </c>
      <c r="U74" s="12">
        <f t="shared" si="35"/>
        <v>7.4329999999999979E-2</v>
      </c>
      <c r="AE74" s="30"/>
      <c r="AJ74" s="12">
        <f t="shared" si="36"/>
        <v>0</v>
      </c>
      <c r="AL74" s="1" t="s">
        <v>101</v>
      </c>
      <c r="AM74" s="1" t="s">
        <v>101</v>
      </c>
      <c r="AN74" s="29" t="s">
        <v>98</v>
      </c>
      <c r="AW74" s="12">
        <f t="shared" si="37"/>
        <v>7.4329999999999979E-2</v>
      </c>
      <c r="AX74" s="12"/>
      <c r="AY74" s="12"/>
      <c r="AZ74" s="12">
        <f t="shared" si="38"/>
        <v>7.4329999999999979E-2</v>
      </c>
      <c r="BA74" s="12">
        <v>7.4329999999999979E-2</v>
      </c>
      <c r="BB74" s="7"/>
      <c r="BC74" s="12"/>
      <c r="BD74" s="12">
        <f t="shared" si="39"/>
        <v>7.4329999999999979E-2</v>
      </c>
      <c r="BE74" s="12"/>
      <c r="BF74" s="7"/>
      <c r="BG74" s="12"/>
      <c r="BH74" s="12">
        <f t="shared" si="40"/>
        <v>0</v>
      </c>
      <c r="BI74" s="7"/>
    </row>
    <row r="75" spans="1:61">
      <c r="A75" t="s">
        <v>214</v>
      </c>
      <c r="B75" t="s">
        <v>215</v>
      </c>
      <c r="C75" t="s">
        <v>216</v>
      </c>
      <c r="E75" t="s">
        <v>95</v>
      </c>
      <c r="G75" s="31">
        <v>43915</v>
      </c>
      <c r="H75" s="31">
        <v>43914</v>
      </c>
      <c r="I75" s="31">
        <v>43921</v>
      </c>
      <c r="J75" s="12">
        <f t="shared" si="32"/>
        <v>4.4609999999999997E-2</v>
      </c>
      <c r="M75" s="12">
        <f t="shared" si="33"/>
        <v>4.4609999999999997E-2</v>
      </c>
      <c r="N75" s="12">
        <f>0.04461-Z75</f>
        <v>3.0139599999999961E-3</v>
      </c>
      <c r="Q75" s="12">
        <f t="shared" si="34"/>
        <v>3.0139599999999961E-3</v>
      </c>
      <c r="U75" s="12">
        <f t="shared" si="35"/>
        <v>0</v>
      </c>
      <c r="Z75" s="12">
        <v>4.1596040000000001E-2</v>
      </c>
      <c r="AE75" s="30"/>
      <c r="AJ75" s="12">
        <f t="shared" si="36"/>
        <v>0</v>
      </c>
      <c r="AL75" s="1" t="s">
        <v>101</v>
      </c>
      <c r="AM75" s="1" t="s">
        <v>101</v>
      </c>
      <c r="AN75" s="29" t="s">
        <v>98</v>
      </c>
      <c r="AW75" s="12">
        <f t="shared" si="37"/>
        <v>4.4609999999999983E-2</v>
      </c>
      <c r="AX75" s="12"/>
      <c r="AY75" s="12"/>
      <c r="AZ75" s="12">
        <f t="shared" si="38"/>
        <v>4.4609999999999983E-2</v>
      </c>
      <c r="BA75" s="12">
        <v>4.4609999999999983E-2</v>
      </c>
      <c r="BB75" s="7"/>
      <c r="BC75" s="12"/>
      <c r="BD75" s="12">
        <f t="shared" si="39"/>
        <v>4.4609999999999983E-2</v>
      </c>
      <c r="BE75" s="12"/>
      <c r="BF75" s="7"/>
      <c r="BG75" s="12"/>
      <c r="BH75" s="12">
        <f t="shared" si="40"/>
        <v>0</v>
      </c>
      <c r="BI75" s="7"/>
    </row>
    <row r="76" spans="1:61">
      <c r="A76" t="s">
        <v>217</v>
      </c>
      <c r="B76" t="s">
        <v>218</v>
      </c>
      <c r="C76" t="s">
        <v>219</v>
      </c>
      <c r="G76" s="31">
        <v>43915</v>
      </c>
      <c r="H76" s="31">
        <v>43914</v>
      </c>
      <c r="I76" s="31">
        <v>43921</v>
      </c>
      <c r="J76" s="12">
        <f t="shared" si="32"/>
        <v>0.12345</v>
      </c>
      <c r="M76" s="12">
        <f t="shared" si="33"/>
        <v>0.12345</v>
      </c>
      <c r="N76" s="12">
        <v>0.12345</v>
      </c>
      <c r="Q76" s="12">
        <f t="shared" si="34"/>
        <v>0.12345</v>
      </c>
      <c r="R76" s="12">
        <f>N76*1</f>
        <v>0.12345</v>
      </c>
      <c r="U76" s="12">
        <f t="shared" si="35"/>
        <v>0.12345</v>
      </c>
      <c r="AE76" s="30"/>
      <c r="AJ76" s="12">
        <f t="shared" si="36"/>
        <v>0</v>
      </c>
      <c r="AL76" s="1" t="s">
        <v>101</v>
      </c>
      <c r="AM76" s="1" t="s">
        <v>101</v>
      </c>
      <c r="AN76" s="29" t="s">
        <v>98</v>
      </c>
      <c r="AW76" s="12">
        <f t="shared" si="37"/>
        <v>0.12345</v>
      </c>
      <c r="AX76" s="12"/>
      <c r="AY76" s="12"/>
      <c r="AZ76" s="12">
        <f t="shared" si="38"/>
        <v>0.12345</v>
      </c>
      <c r="BA76" s="12">
        <v>0.12345</v>
      </c>
      <c r="BB76" s="7"/>
      <c r="BC76" s="12"/>
      <c r="BD76" s="12">
        <f t="shared" si="39"/>
        <v>0.12345</v>
      </c>
      <c r="BE76" s="12"/>
      <c r="BF76" s="7"/>
      <c r="BG76" s="12"/>
      <c r="BH76" s="12">
        <f t="shared" si="40"/>
        <v>0</v>
      </c>
      <c r="BI76" s="7"/>
    </row>
    <row r="77" spans="1:61">
      <c r="A77" t="s">
        <v>217</v>
      </c>
      <c r="B77" t="s">
        <v>218</v>
      </c>
      <c r="C77" t="s">
        <v>219</v>
      </c>
      <c r="G77" s="31">
        <v>44006</v>
      </c>
      <c r="H77" s="31">
        <v>44005</v>
      </c>
      <c r="I77" s="31">
        <v>44012</v>
      </c>
      <c r="J77" s="12">
        <f t="shared" si="32"/>
        <v>3.6419999999999994E-2</v>
      </c>
      <c r="M77" s="12">
        <f t="shared" si="33"/>
        <v>3.6419999999999994E-2</v>
      </c>
      <c r="N77" s="12">
        <v>3.6419999999999994E-2</v>
      </c>
      <c r="Q77" s="12">
        <f t="shared" si="34"/>
        <v>3.6419999999999994E-2</v>
      </c>
      <c r="R77" s="12">
        <f>N77*1</f>
        <v>3.6419999999999994E-2</v>
      </c>
      <c r="U77" s="12">
        <f t="shared" si="35"/>
        <v>3.6419999999999994E-2</v>
      </c>
      <c r="AE77" s="30"/>
      <c r="AJ77" s="12">
        <f t="shared" si="36"/>
        <v>0</v>
      </c>
      <c r="AL77" s="1" t="s">
        <v>101</v>
      </c>
      <c r="AM77" s="1" t="s">
        <v>101</v>
      </c>
      <c r="AN77" s="29" t="s">
        <v>98</v>
      </c>
      <c r="AW77" s="12">
        <f t="shared" si="37"/>
        <v>3.6419999999999994E-2</v>
      </c>
      <c r="AX77" s="12"/>
      <c r="AY77" s="12"/>
      <c r="AZ77" s="12">
        <f t="shared" si="38"/>
        <v>3.6419999999999994E-2</v>
      </c>
      <c r="BA77" s="12">
        <v>3.6419999999999994E-2</v>
      </c>
      <c r="BB77" s="7"/>
      <c r="BC77" s="12"/>
      <c r="BD77" s="12">
        <f t="shared" si="39"/>
        <v>3.6419999999999994E-2</v>
      </c>
      <c r="BE77" s="12"/>
      <c r="BF77" s="7"/>
      <c r="BG77" s="12"/>
      <c r="BH77" s="12">
        <f t="shared" si="40"/>
        <v>0</v>
      </c>
      <c r="BI77" s="7"/>
    </row>
    <row r="78" spans="1:61">
      <c r="A78" t="s">
        <v>217</v>
      </c>
      <c r="B78" t="s">
        <v>218</v>
      </c>
      <c r="C78" t="s">
        <v>219</v>
      </c>
      <c r="G78" s="31">
        <v>44097</v>
      </c>
      <c r="H78" s="31">
        <v>44096</v>
      </c>
      <c r="I78" s="31">
        <v>44103</v>
      </c>
      <c r="J78" s="12">
        <f t="shared" si="32"/>
        <v>4.7419999999999997E-2</v>
      </c>
      <c r="M78" s="12">
        <f t="shared" si="33"/>
        <v>4.7419999999999997E-2</v>
      </c>
      <c r="N78" s="12">
        <v>4.7419999999999997E-2</v>
      </c>
      <c r="Q78" s="12">
        <f t="shared" si="34"/>
        <v>4.7419999999999997E-2</v>
      </c>
      <c r="R78" s="12">
        <f>N78*1</f>
        <v>4.7419999999999997E-2</v>
      </c>
      <c r="U78" s="12">
        <f t="shared" si="35"/>
        <v>4.7419999999999997E-2</v>
      </c>
      <c r="AE78" s="30"/>
      <c r="AJ78" s="12">
        <f t="shared" si="36"/>
        <v>0</v>
      </c>
      <c r="AL78" s="1" t="s">
        <v>101</v>
      </c>
      <c r="AM78" s="1" t="s">
        <v>101</v>
      </c>
      <c r="AN78" s="29" t="s">
        <v>98</v>
      </c>
      <c r="AW78" s="12">
        <f t="shared" si="37"/>
        <v>4.7419999999999997E-2</v>
      </c>
      <c r="AX78" s="12"/>
      <c r="AY78" s="12"/>
      <c r="AZ78" s="12">
        <f t="shared" si="38"/>
        <v>4.7419999999999997E-2</v>
      </c>
      <c r="BA78" s="12">
        <v>4.7419999999999997E-2</v>
      </c>
      <c r="BB78" s="7"/>
      <c r="BC78" s="12"/>
      <c r="BD78" s="12">
        <f t="shared" si="39"/>
        <v>4.7419999999999997E-2</v>
      </c>
      <c r="BE78" s="12"/>
      <c r="BF78" s="7"/>
      <c r="BG78" s="12"/>
      <c r="BH78" s="12">
        <f t="shared" si="40"/>
        <v>0</v>
      </c>
      <c r="BI78" s="7"/>
    </row>
    <row r="79" spans="1:61">
      <c r="A79" t="s">
        <v>217</v>
      </c>
      <c r="B79" t="s">
        <v>218</v>
      </c>
      <c r="C79" t="s">
        <v>219</v>
      </c>
      <c r="G79" s="31">
        <v>44188</v>
      </c>
      <c r="H79" s="31">
        <v>44187</v>
      </c>
      <c r="I79" s="31">
        <v>44195</v>
      </c>
      <c r="J79" s="12">
        <f t="shared" si="32"/>
        <v>7.9200000000000007E-2</v>
      </c>
      <c r="M79" s="12">
        <f t="shared" si="33"/>
        <v>7.9200000000000007E-2</v>
      </c>
      <c r="N79" s="12">
        <v>7.9200000000000007E-2</v>
      </c>
      <c r="Q79" s="12">
        <f t="shared" si="34"/>
        <v>7.9200000000000007E-2</v>
      </c>
      <c r="R79" s="12">
        <f>N79*1</f>
        <v>7.9200000000000007E-2</v>
      </c>
      <c r="U79" s="12">
        <f t="shared" si="35"/>
        <v>7.9200000000000007E-2</v>
      </c>
      <c r="AE79" s="30"/>
      <c r="AJ79" s="12">
        <f t="shared" si="36"/>
        <v>0</v>
      </c>
      <c r="AL79" s="1" t="s">
        <v>101</v>
      </c>
      <c r="AM79" s="1" t="s">
        <v>101</v>
      </c>
      <c r="AN79" s="29" t="s">
        <v>98</v>
      </c>
      <c r="AW79" s="12">
        <f t="shared" si="37"/>
        <v>7.9200000000000007E-2</v>
      </c>
      <c r="AX79" s="12"/>
      <c r="AY79" s="12"/>
      <c r="AZ79" s="12">
        <f t="shared" si="38"/>
        <v>7.9200000000000007E-2</v>
      </c>
      <c r="BA79" s="12">
        <v>7.9200000000000007E-2</v>
      </c>
      <c r="BB79" s="7"/>
      <c r="BC79" s="12"/>
      <c r="BD79" s="12">
        <f t="shared" si="39"/>
        <v>7.9200000000000007E-2</v>
      </c>
      <c r="BE79" s="12"/>
      <c r="BF79" s="7"/>
      <c r="BG79" s="12"/>
      <c r="BH79" s="12">
        <f t="shared" si="40"/>
        <v>0</v>
      </c>
      <c r="BI79" s="7"/>
    </row>
    <row r="80" spans="1:61">
      <c r="A80" t="s">
        <v>220</v>
      </c>
      <c r="B80" t="s">
        <v>221</v>
      </c>
      <c r="C80" t="s">
        <v>222</v>
      </c>
      <c r="E80" t="s">
        <v>108</v>
      </c>
      <c r="G80" s="31">
        <v>43915</v>
      </c>
      <c r="H80" s="31">
        <v>43914</v>
      </c>
      <c r="I80" s="31">
        <v>43921</v>
      </c>
      <c r="J80" s="12">
        <f t="shared" si="32"/>
        <v>0.10867</v>
      </c>
      <c r="M80" s="12">
        <f t="shared" si="33"/>
        <v>0.10867</v>
      </c>
      <c r="N80" s="12">
        <f>0.10867-Z80</f>
        <v>6.7100999999999966E-4</v>
      </c>
      <c r="Q80" s="12">
        <f t="shared" si="34"/>
        <v>6.7100999999999966E-4</v>
      </c>
      <c r="U80" s="12">
        <f t="shared" si="35"/>
        <v>0</v>
      </c>
      <c r="Z80" s="12">
        <v>0.10799899</v>
      </c>
      <c r="AE80" s="30"/>
      <c r="AJ80" s="12">
        <f t="shared" si="36"/>
        <v>0</v>
      </c>
      <c r="AL80" s="1" t="s">
        <v>101</v>
      </c>
      <c r="AM80" s="1" t="s">
        <v>101</v>
      </c>
      <c r="AN80" s="29" t="s">
        <v>98</v>
      </c>
      <c r="AW80" s="12">
        <f t="shared" si="37"/>
        <v>0.10867000000000003</v>
      </c>
      <c r="AX80" s="12"/>
      <c r="AY80" s="12"/>
      <c r="AZ80" s="12">
        <f t="shared" si="38"/>
        <v>0.10867000000000003</v>
      </c>
      <c r="BA80" s="12">
        <v>0.10867000000000003</v>
      </c>
      <c r="BB80" s="7"/>
      <c r="BC80" s="12"/>
      <c r="BD80" s="12">
        <f t="shared" si="39"/>
        <v>0.10867000000000003</v>
      </c>
      <c r="BE80" s="12"/>
      <c r="BF80" s="7"/>
      <c r="BG80" s="12"/>
      <c r="BH80" s="12">
        <f t="shared" si="40"/>
        <v>0</v>
      </c>
      <c r="BI80" s="7"/>
    </row>
    <row r="81" spans="1:61">
      <c r="A81" t="s">
        <v>223</v>
      </c>
      <c r="B81" t="s">
        <v>224</v>
      </c>
      <c r="C81" t="s">
        <v>225</v>
      </c>
      <c r="E81" t="s">
        <v>108</v>
      </c>
      <c r="G81" s="31">
        <v>43915</v>
      </c>
      <c r="H81" s="31">
        <v>43914</v>
      </c>
      <c r="I81" s="31">
        <v>43921</v>
      </c>
      <c r="J81" s="12">
        <f t="shared" si="32"/>
        <v>3.7539999999999997E-2</v>
      </c>
      <c r="M81" s="12">
        <f t="shared" si="33"/>
        <v>3.7539999999999997E-2</v>
      </c>
      <c r="N81" s="12">
        <f>0.03754-Z81</f>
        <v>2.8696749999999997E-2</v>
      </c>
      <c r="Q81" s="12">
        <f t="shared" si="34"/>
        <v>2.8696749999999997E-2</v>
      </c>
      <c r="R81" s="12">
        <f>N81*0.845</f>
        <v>2.4248753749999997E-2</v>
      </c>
      <c r="U81" s="12">
        <f t="shared" si="35"/>
        <v>2.4248753749999997E-2</v>
      </c>
      <c r="Z81" s="12">
        <v>8.8432500000000004E-3</v>
      </c>
      <c r="AE81" s="30"/>
      <c r="AJ81" s="12">
        <f t="shared" si="36"/>
        <v>0</v>
      </c>
      <c r="AL81" s="1" t="s">
        <v>101</v>
      </c>
      <c r="AM81" s="1" t="s">
        <v>101</v>
      </c>
      <c r="AN81" s="29" t="s">
        <v>98</v>
      </c>
      <c r="AW81" s="12">
        <f t="shared" si="37"/>
        <v>3.7539999999999997E-2</v>
      </c>
      <c r="AX81" s="12"/>
      <c r="AY81" s="12"/>
      <c r="AZ81" s="12">
        <f t="shared" si="38"/>
        <v>3.7539999999999997E-2</v>
      </c>
      <c r="BA81" s="12">
        <v>3.7539999999999997E-2</v>
      </c>
      <c r="BB81" s="7"/>
      <c r="BC81" s="12"/>
      <c r="BD81" s="12">
        <f t="shared" si="39"/>
        <v>3.7539999999999997E-2</v>
      </c>
      <c r="BE81" s="12"/>
      <c r="BF81" s="7"/>
      <c r="BG81" s="12"/>
      <c r="BH81" s="12">
        <f t="shared" si="40"/>
        <v>0</v>
      </c>
      <c r="BI81" s="7"/>
    </row>
    <row r="82" spans="1:61">
      <c r="A82" t="s">
        <v>223</v>
      </c>
      <c r="B82" t="s">
        <v>224</v>
      </c>
      <c r="C82" t="s">
        <v>225</v>
      </c>
      <c r="E82" t="s">
        <v>108</v>
      </c>
      <c r="G82" s="31">
        <v>44006</v>
      </c>
      <c r="H82" s="31">
        <v>44005</v>
      </c>
      <c r="I82" s="31">
        <v>44012</v>
      </c>
      <c r="J82" s="12">
        <f t="shared" si="32"/>
        <v>2.4340000000000001E-2</v>
      </c>
      <c r="M82" s="12">
        <f t="shared" si="33"/>
        <v>2.4340000000000001E-2</v>
      </c>
      <c r="N82" s="12">
        <f>0.02434-Z82</f>
        <v>1.8606259999999999E-2</v>
      </c>
      <c r="Q82" s="12">
        <f t="shared" si="34"/>
        <v>1.8606259999999999E-2</v>
      </c>
      <c r="R82" s="12">
        <f>N82*0.845</f>
        <v>1.5722289699999999E-2</v>
      </c>
      <c r="U82" s="12">
        <f t="shared" si="35"/>
        <v>1.5722289699999999E-2</v>
      </c>
      <c r="Z82" s="12">
        <v>5.7337400000000002E-3</v>
      </c>
      <c r="AE82" s="30"/>
      <c r="AJ82" s="12">
        <f t="shared" si="36"/>
        <v>0</v>
      </c>
      <c r="AL82" s="1" t="s">
        <v>101</v>
      </c>
      <c r="AM82" s="1" t="s">
        <v>101</v>
      </c>
      <c r="AN82" s="29" t="s">
        <v>98</v>
      </c>
      <c r="AW82" s="12">
        <f t="shared" si="37"/>
        <v>2.4340000000000007E-2</v>
      </c>
      <c r="AX82" s="12"/>
      <c r="AY82" s="12"/>
      <c r="AZ82" s="12">
        <f t="shared" si="38"/>
        <v>2.4340000000000007E-2</v>
      </c>
      <c r="BA82" s="12">
        <v>2.4340000000000007E-2</v>
      </c>
      <c r="BB82" s="7"/>
      <c r="BC82" s="12"/>
      <c r="BD82" s="12">
        <f t="shared" si="39"/>
        <v>2.4340000000000007E-2</v>
      </c>
      <c r="BE82" s="12"/>
      <c r="BF82" s="7"/>
      <c r="BG82" s="12"/>
      <c r="BH82" s="12">
        <f t="shared" si="40"/>
        <v>0</v>
      </c>
      <c r="BI82" s="7"/>
    </row>
    <row r="83" spans="1:61">
      <c r="A83" t="s">
        <v>223</v>
      </c>
      <c r="B83" t="s">
        <v>224</v>
      </c>
      <c r="C83" t="s">
        <v>225</v>
      </c>
      <c r="G83" s="31">
        <v>44188</v>
      </c>
      <c r="H83" s="31">
        <v>44187</v>
      </c>
      <c r="I83" s="31">
        <v>44195</v>
      </c>
      <c r="J83" s="12">
        <f t="shared" si="32"/>
        <v>9.1660000000000019E-2</v>
      </c>
      <c r="M83" s="12">
        <f t="shared" si="33"/>
        <v>9.1660000000000019E-2</v>
      </c>
      <c r="N83" s="12">
        <v>9.1660000000000019E-2</v>
      </c>
      <c r="Q83" s="12">
        <f t="shared" si="34"/>
        <v>9.1660000000000019E-2</v>
      </c>
      <c r="R83" s="12">
        <f>N83*0.845</f>
        <v>7.7452700000000013E-2</v>
      </c>
      <c r="U83" s="12">
        <f t="shared" si="35"/>
        <v>7.7452700000000013E-2</v>
      </c>
      <c r="AE83" s="30"/>
      <c r="AJ83" s="12">
        <f t="shared" si="36"/>
        <v>0</v>
      </c>
      <c r="AL83" s="1" t="s">
        <v>101</v>
      </c>
      <c r="AM83" s="1" t="s">
        <v>101</v>
      </c>
      <c r="AN83" s="29" t="s">
        <v>98</v>
      </c>
      <c r="AW83" s="12">
        <f t="shared" si="37"/>
        <v>9.1660000000000019E-2</v>
      </c>
      <c r="AX83" s="12"/>
      <c r="AY83" s="12"/>
      <c r="AZ83" s="12">
        <f t="shared" si="38"/>
        <v>9.1660000000000019E-2</v>
      </c>
      <c r="BA83" s="12">
        <v>9.1660000000000019E-2</v>
      </c>
      <c r="BB83" s="7"/>
      <c r="BC83" s="12"/>
      <c r="BD83" s="12">
        <f t="shared" si="39"/>
        <v>9.1660000000000019E-2</v>
      </c>
      <c r="BE83" s="12"/>
      <c r="BF83" s="7"/>
      <c r="BG83" s="12"/>
      <c r="BH83" s="12">
        <f t="shared" si="40"/>
        <v>0</v>
      </c>
      <c r="BI83" s="7"/>
    </row>
    <row r="84" spans="1:61">
      <c r="A84" t="s">
        <v>226</v>
      </c>
      <c r="B84" t="s">
        <v>227</v>
      </c>
      <c r="C84" t="s">
        <v>228</v>
      </c>
      <c r="G84" s="31">
        <v>43915</v>
      </c>
      <c r="H84" s="31">
        <v>43914</v>
      </c>
      <c r="I84" s="31">
        <v>43921</v>
      </c>
      <c r="J84" s="12">
        <f t="shared" si="32"/>
        <v>5.5659999999999987E-2</v>
      </c>
      <c r="M84" s="12">
        <f t="shared" si="33"/>
        <v>5.5659999999999987E-2</v>
      </c>
      <c r="N84" s="12">
        <v>5.5659999999999987E-2</v>
      </c>
      <c r="Q84" s="12">
        <f t="shared" si="34"/>
        <v>5.5659999999999987E-2</v>
      </c>
      <c r="R84" s="12">
        <f>N84*1</f>
        <v>5.5659999999999987E-2</v>
      </c>
      <c r="U84" s="12">
        <f t="shared" si="35"/>
        <v>5.5659999999999987E-2</v>
      </c>
      <c r="AE84" s="30"/>
      <c r="AJ84" s="12">
        <f t="shared" si="36"/>
        <v>0</v>
      </c>
      <c r="AL84" s="1" t="s">
        <v>101</v>
      </c>
      <c r="AM84" s="1" t="s">
        <v>101</v>
      </c>
      <c r="AN84" s="29" t="s">
        <v>98</v>
      </c>
      <c r="AW84" s="12">
        <f t="shared" si="37"/>
        <v>5.5659999999999987E-2</v>
      </c>
      <c r="AX84" s="12"/>
      <c r="AY84" s="12"/>
      <c r="AZ84" s="12">
        <f t="shared" si="38"/>
        <v>5.5659999999999987E-2</v>
      </c>
      <c r="BA84" s="12">
        <v>5.5659999999999987E-2</v>
      </c>
      <c r="BB84" s="7"/>
      <c r="BC84" s="12"/>
      <c r="BD84" s="12">
        <f t="shared" si="39"/>
        <v>5.5659999999999987E-2</v>
      </c>
      <c r="BE84" s="12"/>
      <c r="BF84" s="7"/>
      <c r="BG84" s="12"/>
      <c r="BH84" s="12">
        <f t="shared" si="40"/>
        <v>0</v>
      </c>
      <c r="BI84" s="7"/>
    </row>
    <row r="85" spans="1:61">
      <c r="A85" t="s">
        <v>226</v>
      </c>
      <c r="B85" t="s">
        <v>227</v>
      </c>
      <c r="C85" t="s">
        <v>228</v>
      </c>
      <c r="G85" s="31">
        <v>44188</v>
      </c>
      <c r="H85" s="31">
        <v>44187</v>
      </c>
      <c r="I85" s="31">
        <v>44195</v>
      </c>
      <c r="J85" s="12">
        <f t="shared" si="32"/>
        <v>5.0979999999999991E-2</v>
      </c>
      <c r="M85" s="12">
        <f t="shared" si="33"/>
        <v>5.0979999999999991E-2</v>
      </c>
      <c r="N85" s="12">
        <v>5.0979999999999991E-2</v>
      </c>
      <c r="Q85" s="12">
        <f t="shared" si="34"/>
        <v>5.0979999999999991E-2</v>
      </c>
      <c r="R85" s="12">
        <f>N85*1</f>
        <v>5.0979999999999991E-2</v>
      </c>
      <c r="U85" s="12">
        <f t="shared" si="35"/>
        <v>5.0979999999999991E-2</v>
      </c>
      <c r="AE85" s="30"/>
      <c r="AJ85" s="12">
        <f t="shared" si="36"/>
        <v>0</v>
      </c>
      <c r="AL85" s="1" t="s">
        <v>101</v>
      </c>
      <c r="AM85" s="1" t="s">
        <v>101</v>
      </c>
      <c r="AN85" s="29" t="s">
        <v>98</v>
      </c>
      <c r="AW85" s="12">
        <f t="shared" si="37"/>
        <v>5.0979999999999991E-2</v>
      </c>
      <c r="AX85" s="12"/>
      <c r="AY85" s="12"/>
      <c r="AZ85" s="12">
        <f t="shared" si="38"/>
        <v>5.0979999999999991E-2</v>
      </c>
      <c r="BA85" s="12">
        <v>5.0979999999999991E-2</v>
      </c>
      <c r="BB85" s="7"/>
      <c r="BC85" s="12"/>
      <c r="BD85" s="12">
        <f t="shared" si="39"/>
        <v>5.0979999999999991E-2</v>
      </c>
      <c r="BE85" s="12"/>
      <c r="BF85" s="7"/>
      <c r="BG85" s="12"/>
      <c r="BH85" s="12">
        <f t="shared" si="40"/>
        <v>0</v>
      </c>
      <c r="BI85" s="7"/>
    </row>
    <row r="86" spans="1:61">
      <c r="A86" t="s">
        <v>229</v>
      </c>
      <c r="B86" t="s">
        <v>230</v>
      </c>
      <c r="C86" t="s">
        <v>231</v>
      </c>
      <c r="E86" t="s">
        <v>95</v>
      </c>
      <c r="G86" s="31">
        <v>43915</v>
      </c>
      <c r="H86" s="31">
        <v>43914</v>
      </c>
      <c r="I86" s="31">
        <v>43921</v>
      </c>
      <c r="J86" s="12">
        <f t="shared" si="32"/>
        <v>2.8680000000000001E-2</v>
      </c>
      <c r="M86" s="12">
        <f t="shared" si="33"/>
        <v>2.8680000000000001E-2</v>
      </c>
      <c r="N86" s="12">
        <f>0.02868-Z86</f>
        <v>6.9508599999999997E-3</v>
      </c>
      <c r="Q86" s="12">
        <f t="shared" si="34"/>
        <v>6.9508599999999997E-3</v>
      </c>
      <c r="U86" s="12">
        <f t="shared" si="35"/>
        <v>0</v>
      </c>
      <c r="Z86" s="12">
        <v>2.1729140000000001E-2</v>
      </c>
      <c r="AE86" s="30"/>
      <c r="AJ86" s="12">
        <f t="shared" si="36"/>
        <v>0</v>
      </c>
      <c r="AL86" s="1" t="s">
        <v>101</v>
      </c>
      <c r="AM86" s="1" t="s">
        <v>101</v>
      </c>
      <c r="AN86" s="29" t="s">
        <v>98</v>
      </c>
      <c r="AW86" s="12">
        <f t="shared" si="37"/>
        <v>2.8680000000000004E-2</v>
      </c>
      <c r="AX86" s="12"/>
      <c r="AY86" s="12"/>
      <c r="AZ86" s="12">
        <f t="shared" si="38"/>
        <v>2.8680000000000004E-2</v>
      </c>
      <c r="BA86" s="12">
        <v>2.8680000000000004E-2</v>
      </c>
      <c r="BB86" s="7"/>
      <c r="BC86" s="12"/>
      <c r="BD86" s="12">
        <f t="shared" si="39"/>
        <v>2.8680000000000004E-2</v>
      </c>
      <c r="BE86" s="12"/>
      <c r="BF86" s="7"/>
      <c r="BG86" s="12"/>
      <c r="BH86" s="12">
        <f t="shared" si="40"/>
        <v>0</v>
      </c>
      <c r="BI86" s="7"/>
    </row>
    <row r="87" spans="1:61">
      <c r="A87" t="s">
        <v>232</v>
      </c>
      <c r="B87" t="s">
        <v>233</v>
      </c>
      <c r="C87" t="s">
        <v>234</v>
      </c>
      <c r="G87" s="31">
        <v>43915</v>
      </c>
      <c r="H87" s="31">
        <v>43914</v>
      </c>
      <c r="I87" s="31">
        <v>43921</v>
      </c>
      <c r="J87" s="12">
        <f t="shared" si="32"/>
        <v>9.983000000000003E-2</v>
      </c>
      <c r="M87" s="12">
        <f t="shared" si="33"/>
        <v>9.983000000000003E-2</v>
      </c>
      <c r="N87" s="12">
        <v>9.983000000000003E-2</v>
      </c>
      <c r="Q87" s="12">
        <f t="shared" si="34"/>
        <v>9.983000000000003E-2</v>
      </c>
      <c r="R87" s="12">
        <f>N87*0.1148</f>
        <v>1.1460484000000003E-2</v>
      </c>
      <c r="U87" s="12">
        <f t="shared" si="35"/>
        <v>1.1460484000000003E-2</v>
      </c>
      <c r="AE87" s="30"/>
      <c r="AJ87" s="12">
        <f t="shared" si="36"/>
        <v>0</v>
      </c>
      <c r="AL87" s="1" t="s">
        <v>101</v>
      </c>
      <c r="AM87" s="1" t="s">
        <v>101</v>
      </c>
      <c r="AN87" s="29" t="s">
        <v>98</v>
      </c>
      <c r="AW87" s="12">
        <f t="shared" si="37"/>
        <v>9.983000000000003E-2</v>
      </c>
      <c r="AX87" s="12"/>
      <c r="AY87" s="12"/>
      <c r="AZ87" s="12">
        <f t="shared" si="38"/>
        <v>9.983000000000003E-2</v>
      </c>
      <c r="BA87" s="12">
        <v>9.983000000000003E-2</v>
      </c>
      <c r="BB87" s="7"/>
      <c r="BC87" s="12"/>
      <c r="BD87" s="12">
        <f t="shared" si="39"/>
        <v>9.983000000000003E-2</v>
      </c>
      <c r="BE87" s="12"/>
      <c r="BF87" s="7"/>
      <c r="BG87" s="12"/>
      <c r="BH87" s="12">
        <f t="shared" si="40"/>
        <v>0</v>
      </c>
      <c r="BI87" s="7"/>
    </row>
    <row r="88" spans="1:61">
      <c r="A88" t="s">
        <v>232</v>
      </c>
      <c r="B88" t="s">
        <v>233</v>
      </c>
      <c r="C88" t="s">
        <v>234</v>
      </c>
      <c r="G88" s="31">
        <v>44006</v>
      </c>
      <c r="H88" s="31">
        <v>44005</v>
      </c>
      <c r="I88" s="31">
        <v>44012</v>
      </c>
      <c r="J88" s="12">
        <f t="shared" si="32"/>
        <v>1.6269999999999996E-2</v>
      </c>
      <c r="M88" s="12">
        <f t="shared" si="33"/>
        <v>1.6269999999999996E-2</v>
      </c>
      <c r="N88" s="12">
        <v>1.6269999999999996E-2</v>
      </c>
      <c r="Q88" s="12">
        <f t="shared" si="34"/>
        <v>1.6269999999999996E-2</v>
      </c>
      <c r="R88" s="12">
        <f>N88*0.1148</f>
        <v>1.8677959999999995E-3</v>
      </c>
      <c r="U88" s="12">
        <f t="shared" si="35"/>
        <v>1.8677959999999995E-3</v>
      </c>
      <c r="AE88" s="30"/>
      <c r="AJ88" s="12">
        <f t="shared" si="36"/>
        <v>0</v>
      </c>
      <c r="AL88" s="1" t="s">
        <v>101</v>
      </c>
      <c r="AM88" s="1" t="s">
        <v>101</v>
      </c>
      <c r="AN88" s="29" t="s">
        <v>98</v>
      </c>
      <c r="AW88" s="12">
        <f t="shared" si="37"/>
        <v>1.6269999999999996E-2</v>
      </c>
      <c r="AX88" s="12"/>
      <c r="AY88" s="12"/>
      <c r="AZ88" s="12">
        <f t="shared" si="38"/>
        <v>1.6269999999999996E-2</v>
      </c>
      <c r="BA88" s="12">
        <v>1.6269999999999996E-2</v>
      </c>
      <c r="BB88" s="7"/>
      <c r="BC88" s="12"/>
      <c r="BD88" s="12">
        <f t="shared" si="39"/>
        <v>1.6269999999999996E-2</v>
      </c>
      <c r="BE88" s="12"/>
      <c r="BF88" s="7"/>
      <c r="BG88" s="12"/>
      <c r="BH88" s="12">
        <f t="shared" si="40"/>
        <v>0</v>
      </c>
      <c r="BI88" s="7"/>
    </row>
    <row r="89" spans="1:61">
      <c r="A89" t="s">
        <v>232</v>
      </c>
      <c r="B89" t="s">
        <v>233</v>
      </c>
      <c r="C89" t="s">
        <v>234</v>
      </c>
      <c r="G89" s="31">
        <v>44097</v>
      </c>
      <c r="H89" s="31">
        <v>44096</v>
      </c>
      <c r="I89" s="31">
        <v>44103</v>
      </c>
      <c r="J89" s="12">
        <f t="shared" si="32"/>
        <v>1.0090000000000002E-2</v>
      </c>
      <c r="M89" s="12">
        <f t="shared" si="33"/>
        <v>1.0090000000000002E-2</v>
      </c>
      <c r="N89" s="12">
        <v>1.0090000000000002E-2</v>
      </c>
      <c r="Q89" s="12">
        <f t="shared" si="34"/>
        <v>1.0090000000000002E-2</v>
      </c>
      <c r="R89" s="12">
        <f>N89*0.1148</f>
        <v>1.1583320000000002E-3</v>
      </c>
      <c r="U89" s="12">
        <f t="shared" si="35"/>
        <v>1.1583320000000002E-3</v>
      </c>
      <c r="AE89" s="30"/>
      <c r="AJ89" s="12">
        <f t="shared" si="36"/>
        <v>0</v>
      </c>
      <c r="AL89" s="1" t="s">
        <v>101</v>
      </c>
      <c r="AM89" s="1" t="s">
        <v>101</v>
      </c>
      <c r="AN89" s="29" t="s">
        <v>98</v>
      </c>
      <c r="AW89" s="12">
        <f t="shared" si="37"/>
        <v>1.0090000000000002E-2</v>
      </c>
      <c r="AX89" s="12"/>
      <c r="AY89" s="12"/>
      <c r="AZ89" s="12">
        <f t="shared" si="38"/>
        <v>1.0090000000000002E-2</v>
      </c>
      <c r="BA89" s="12">
        <v>1.0090000000000002E-2</v>
      </c>
      <c r="BB89" s="7"/>
      <c r="BC89" s="12"/>
      <c r="BD89" s="12">
        <f t="shared" si="39"/>
        <v>1.0090000000000002E-2</v>
      </c>
      <c r="BE89" s="12"/>
      <c r="BF89" s="7"/>
      <c r="BG89" s="12"/>
      <c r="BH89" s="12">
        <f t="shared" si="40"/>
        <v>0</v>
      </c>
      <c r="BI89" s="7"/>
    </row>
    <row r="90" spans="1:61">
      <c r="A90" t="s">
        <v>232</v>
      </c>
      <c r="B90" t="s">
        <v>233</v>
      </c>
      <c r="C90" t="s">
        <v>234</v>
      </c>
      <c r="G90" s="31">
        <v>44188</v>
      </c>
      <c r="H90" s="31">
        <v>44187</v>
      </c>
      <c r="I90" s="31">
        <v>44195</v>
      </c>
      <c r="J90" s="12">
        <f t="shared" si="32"/>
        <v>6.0899999999999999E-3</v>
      </c>
      <c r="M90" s="12">
        <f t="shared" si="33"/>
        <v>6.0899999999999999E-3</v>
      </c>
      <c r="N90" s="12">
        <v>6.0899999999999999E-3</v>
      </c>
      <c r="Q90" s="12">
        <f t="shared" si="34"/>
        <v>6.0899999999999999E-3</v>
      </c>
      <c r="R90" s="12">
        <f>N90*0.1148</f>
        <v>6.9913199999999999E-4</v>
      </c>
      <c r="U90" s="12">
        <f t="shared" si="35"/>
        <v>6.9913199999999999E-4</v>
      </c>
      <c r="AE90" s="30"/>
      <c r="AJ90" s="12">
        <f t="shared" si="36"/>
        <v>0</v>
      </c>
      <c r="AL90" s="1" t="s">
        <v>101</v>
      </c>
      <c r="AM90" s="1" t="s">
        <v>101</v>
      </c>
      <c r="AN90" s="29" t="s">
        <v>98</v>
      </c>
      <c r="AW90" s="12">
        <f t="shared" si="37"/>
        <v>6.0899999999999999E-3</v>
      </c>
      <c r="AX90" s="12"/>
      <c r="AY90" s="12"/>
      <c r="AZ90" s="12">
        <f t="shared" si="38"/>
        <v>6.0899999999999999E-3</v>
      </c>
      <c r="BA90" s="12">
        <v>6.0899999999999999E-3</v>
      </c>
      <c r="BB90" s="7"/>
      <c r="BC90" s="12"/>
      <c r="BD90" s="12">
        <f t="shared" si="39"/>
        <v>6.0899999999999999E-3</v>
      </c>
      <c r="BE90" s="12"/>
      <c r="BF90" s="7"/>
      <c r="BG90" s="12"/>
      <c r="BH90" s="12">
        <f t="shared" si="40"/>
        <v>0</v>
      </c>
      <c r="BI90" s="7"/>
    </row>
    <row r="91" spans="1:61">
      <c r="A91" t="s">
        <v>235</v>
      </c>
      <c r="B91" t="s">
        <v>236</v>
      </c>
      <c r="C91" t="s">
        <v>237</v>
      </c>
      <c r="G91" s="31">
        <v>43915</v>
      </c>
      <c r="H91" s="31">
        <v>43914</v>
      </c>
      <c r="I91" s="31">
        <v>43921</v>
      </c>
      <c r="J91" s="12">
        <f t="shared" si="32"/>
        <v>4.8900000000000002E-3</v>
      </c>
      <c r="M91" s="12">
        <f t="shared" si="33"/>
        <v>4.8900000000000002E-3</v>
      </c>
      <c r="N91" s="12">
        <v>4.8900000000000002E-3</v>
      </c>
      <c r="Q91" s="12">
        <f t="shared" si="34"/>
        <v>4.8900000000000002E-3</v>
      </c>
      <c r="R91" s="12">
        <f>N91*0.081</f>
        <v>3.9609000000000004E-4</v>
      </c>
      <c r="U91" s="12">
        <f t="shared" si="35"/>
        <v>3.9609000000000004E-4</v>
      </c>
      <c r="AE91" s="30"/>
      <c r="AJ91" s="12">
        <f t="shared" si="36"/>
        <v>0</v>
      </c>
      <c r="AL91" s="1" t="s">
        <v>101</v>
      </c>
      <c r="AM91" s="1" t="s">
        <v>101</v>
      </c>
      <c r="AN91" s="29" t="s">
        <v>98</v>
      </c>
      <c r="AW91" s="12">
        <f t="shared" si="37"/>
        <v>4.8900000000000002E-3</v>
      </c>
      <c r="AX91" s="12"/>
      <c r="AY91" s="12"/>
      <c r="AZ91" s="12">
        <f t="shared" si="38"/>
        <v>4.8900000000000002E-3</v>
      </c>
      <c r="BA91" s="12">
        <v>4.8900000000000002E-3</v>
      </c>
      <c r="BB91" s="7"/>
      <c r="BC91" s="12"/>
      <c r="BD91" s="12">
        <f t="shared" si="39"/>
        <v>4.8900000000000002E-3</v>
      </c>
      <c r="BE91" s="12"/>
      <c r="BF91" s="7"/>
      <c r="BG91" s="12"/>
      <c r="BH91" s="12">
        <f t="shared" si="40"/>
        <v>0</v>
      </c>
      <c r="BI91" s="7"/>
    </row>
    <row r="92" spans="1:61">
      <c r="A92" t="s">
        <v>238</v>
      </c>
      <c r="B92" t="s">
        <v>239</v>
      </c>
      <c r="C92" t="s">
        <v>240</v>
      </c>
      <c r="G92" s="31">
        <v>43915</v>
      </c>
      <c r="H92" s="31">
        <v>43914</v>
      </c>
      <c r="I92" s="31">
        <v>43921</v>
      </c>
      <c r="J92" s="12">
        <f t="shared" si="32"/>
        <v>6.2230000000000001E-2</v>
      </c>
      <c r="M92" s="12">
        <f t="shared" si="33"/>
        <v>6.2230000000000001E-2</v>
      </c>
      <c r="N92" s="12">
        <v>6.2230000000000001E-2</v>
      </c>
      <c r="Q92" s="12">
        <f t="shared" si="34"/>
        <v>6.2230000000000001E-2</v>
      </c>
      <c r="R92" s="12">
        <f>N92*0.3972</f>
        <v>2.4717756E-2</v>
      </c>
      <c r="U92" s="12">
        <f t="shared" si="35"/>
        <v>2.4717756E-2</v>
      </c>
      <c r="AE92" s="30"/>
      <c r="AJ92" s="12">
        <f t="shared" si="36"/>
        <v>0</v>
      </c>
      <c r="AL92" s="1" t="s">
        <v>101</v>
      </c>
      <c r="AM92" s="1" t="s">
        <v>101</v>
      </c>
      <c r="AN92" s="29" t="s">
        <v>98</v>
      </c>
      <c r="AW92" s="12">
        <f t="shared" si="37"/>
        <v>6.2230000000000001E-2</v>
      </c>
      <c r="AX92" s="12"/>
      <c r="AY92" s="12"/>
      <c r="AZ92" s="12">
        <f t="shared" si="38"/>
        <v>6.2230000000000001E-2</v>
      </c>
      <c r="BA92" s="12">
        <v>6.2230000000000001E-2</v>
      </c>
      <c r="BB92" s="7"/>
      <c r="BC92" s="12"/>
      <c r="BD92" s="12">
        <f t="shared" si="39"/>
        <v>6.2230000000000001E-2</v>
      </c>
      <c r="BE92" s="12"/>
      <c r="BF92" s="7"/>
      <c r="BG92" s="12"/>
      <c r="BH92" s="12">
        <f t="shared" si="40"/>
        <v>0</v>
      </c>
      <c r="BI92" s="7"/>
    </row>
    <row r="93" spans="1:61">
      <c r="A93" t="s">
        <v>238</v>
      </c>
      <c r="B93" t="s">
        <v>239</v>
      </c>
      <c r="C93" t="s">
        <v>240</v>
      </c>
      <c r="G93" s="31">
        <v>44006</v>
      </c>
      <c r="H93" s="31">
        <v>44005</v>
      </c>
      <c r="I93" s="31">
        <v>44012</v>
      </c>
      <c r="J93" s="12">
        <f t="shared" si="32"/>
        <v>4.15E-3</v>
      </c>
      <c r="M93" s="12">
        <f t="shared" si="33"/>
        <v>4.15E-3</v>
      </c>
      <c r="N93" s="12">
        <v>4.15E-3</v>
      </c>
      <c r="Q93" s="12">
        <f t="shared" si="34"/>
        <v>4.15E-3</v>
      </c>
      <c r="R93" s="12">
        <f>N93*0.3972</f>
        <v>1.6483800000000001E-3</v>
      </c>
      <c r="U93" s="12">
        <f t="shared" si="35"/>
        <v>1.6483800000000001E-3</v>
      </c>
      <c r="AE93" s="30"/>
      <c r="AJ93" s="12">
        <f t="shared" si="36"/>
        <v>0</v>
      </c>
      <c r="AL93" s="1" t="s">
        <v>101</v>
      </c>
      <c r="AM93" s="1" t="s">
        <v>101</v>
      </c>
      <c r="AN93" s="29" t="s">
        <v>98</v>
      </c>
      <c r="AW93" s="12">
        <f t="shared" si="37"/>
        <v>4.15E-3</v>
      </c>
      <c r="AX93" s="12"/>
      <c r="AY93" s="12"/>
      <c r="AZ93" s="12">
        <f t="shared" si="38"/>
        <v>4.15E-3</v>
      </c>
      <c r="BA93" s="12">
        <v>4.15E-3</v>
      </c>
      <c r="BB93" s="7"/>
      <c r="BC93" s="12"/>
      <c r="BD93" s="12">
        <f t="shared" si="39"/>
        <v>4.15E-3</v>
      </c>
      <c r="BE93" s="12"/>
      <c r="BF93" s="7"/>
      <c r="BG93" s="12"/>
      <c r="BH93" s="12">
        <f t="shared" si="40"/>
        <v>0</v>
      </c>
      <c r="BI93" s="7"/>
    </row>
    <row r="94" spans="1:61">
      <c r="A94" t="s">
        <v>238</v>
      </c>
      <c r="B94" t="s">
        <v>239</v>
      </c>
      <c r="C94" t="s">
        <v>240</v>
      </c>
      <c r="G94" s="31">
        <v>44097</v>
      </c>
      <c r="H94" s="31">
        <v>44096</v>
      </c>
      <c r="I94" s="31">
        <v>44103</v>
      </c>
      <c r="J94" s="12">
        <f t="shared" si="32"/>
        <v>1.1109999999999998E-2</v>
      </c>
      <c r="M94" s="12">
        <f t="shared" si="33"/>
        <v>1.1109999999999998E-2</v>
      </c>
      <c r="N94" s="12">
        <v>1.1109999999999998E-2</v>
      </c>
      <c r="Q94" s="12">
        <f t="shared" si="34"/>
        <v>1.1109999999999998E-2</v>
      </c>
      <c r="R94" s="12">
        <f>N94*0.3972</f>
        <v>4.412891999999999E-3</v>
      </c>
      <c r="U94" s="12">
        <f t="shared" si="35"/>
        <v>4.412891999999999E-3</v>
      </c>
      <c r="AE94" s="30"/>
      <c r="AJ94" s="12">
        <f t="shared" si="36"/>
        <v>0</v>
      </c>
      <c r="AL94" s="1" t="s">
        <v>101</v>
      </c>
      <c r="AM94" s="1" t="s">
        <v>101</v>
      </c>
      <c r="AN94" s="29" t="s">
        <v>98</v>
      </c>
      <c r="AW94" s="12">
        <f t="shared" si="37"/>
        <v>1.1109999999999998E-2</v>
      </c>
      <c r="AX94" s="12"/>
      <c r="AY94" s="12"/>
      <c r="AZ94" s="12">
        <f t="shared" si="38"/>
        <v>1.1109999999999998E-2</v>
      </c>
      <c r="BA94" s="12">
        <v>1.1109999999999998E-2</v>
      </c>
      <c r="BB94" s="7"/>
      <c r="BC94" s="12"/>
      <c r="BD94" s="12">
        <f t="shared" si="39"/>
        <v>1.1109999999999998E-2</v>
      </c>
      <c r="BE94" s="12"/>
      <c r="BF94" s="7"/>
      <c r="BG94" s="12"/>
      <c r="BH94" s="12">
        <f t="shared" si="40"/>
        <v>0</v>
      </c>
      <c r="BI94" s="7"/>
    </row>
    <row r="95" spans="1:61">
      <c r="A95" t="s">
        <v>238</v>
      </c>
      <c r="B95" t="s">
        <v>239</v>
      </c>
      <c r="C95" t="s">
        <v>240</v>
      </c>
      <c r="G95" s="31">
        <v>44176</v>
      </c>
      <c r="H95" s="31">
        <v>44175</v>
      </c>
      <c r="I95" s="31">
        <v>44182</v>
      </c>
      <c r="J95" s="12">
        <f t="shared" si="32"/>
        <v>4.4299999999999999E-2</v>
      </c>
      <c r="M95" s="12">
        <f t="shared" si="33"/>
        <v>4.4299999999999999E-2</v>
      </c>
      <c r="O95" s="7">
        <v>4.4299999999999999E-2</v>
      </c>
      <c r="Q95" s="12">
        <f t="shared" si="34"/>
        <v>4.4299999999999999E-2</v>
      </c>
      <c r="S95" s="7">
        <f>O95*0.3972</f>
        <v>1.7595960000000001E-2</v>
      </c>
      <c r="U95" s="12">
        <f t="shared" si="35"/>
        <v>1.7595960000000001E-2</v>
      </c>
      <c r="AE95" s="30"/>
      <c r="AJ95" s="12">
        <f t="shared" si="36"/>
        <v>0</v>
      </c>
      <c r="AL95" s="1" t="s">
        <v>101</v>
      </c>
      <c r="AM95" s="1" t="s">
        <v>101</v>
      </c>
      <c r="AN95" s="29" t="s">
        <v>98</v>
      </c>
      <c r="AW95" s="12">
        <f t="shared" si="37"/>
        <v>4.4299999999999999E-2</v>
      </c>
      <c r="AX95" s="12"/>
      <c r="AY95" s="12"/>
      <c r="AZ95" s="12">
        <f t="shared" si="38"/>
        <v>4.4299999999999999E-2</v>
      </c>
      <c r="BA95" s="12"/>
      <c r="BB95" s="7">
        <v>4.4299999999999999E-2</v>
      </c>
      <c r="BC95" s="12"/>
      <c r="BD95" s="12">
        <f t="shared" si="39"/>
        <v>4.4299999999999999E-2</v>
      </c>
      <c r="BE95" s="12"/>
      <c r="BF95" s="7"/>
      <c r="BG95" s="12"/>
      <c r="BH95" s="12">
        <f t="shared" si="40"/>
        <v>0</v>
      </c>
      <c r="BI95" s="7"/>
    </row>
    <row r="96" spans="1:61">
      <c r="A96" t="s">
        <v>238</v>
      </c>
      <c r="B96" t="s">
        <v>239</v>
      </c>
      <c r="C96" t="s">
        <v>240</v>
      </c>
      <c r="G96" s="31">
        <v>44188</v>
      </c>
      <c r="H96" s="31">
        <v>44187</v>
      </c>
      <c r="I96" s="31">
        <v>44195</v>
      </c>
      <c r="J96" s="12">
        <f t="shared" si="32"/>
        <v>1.9140000000000004E-2</v>
      </c>
      <c r="M96" s="12">
        <f t="shared" si="33"/>
        <v>1.9140000000000004E-2</v>
      </c>
      <c r="N96" s="12">
        <v>1.9140000000000004E-2</v>
      </c>
      <c r="Q96" s="12">
        <f t="shared" si="34"/>
        <v>1.9140000000000004E-2</v>
      </c>
      <c r="R96" s="12">
        <f>N96*0.3972</f>
        <v>7.6024080000000015E-3</v>
      </c>
      <c r="U96" s="12">
        <f t="shared" si="35"/>
        <v>7.6024080000000015E-3</v>
      </c>
      <c r="AE96" s="30"/>
      <c r="AJ96" s="12">
        <f t="shared" si="36"/>
        <v>0</v>
      </c>
      <c r="AL96" s="1" t="s">
        <v>101</v>
      </c>
      <c r="AM96" s="1" t="s">
        <v>101</v>
      </c>
      <c r="AN96" s="29" t="s">
        <v>98</v>
      </c>
      <c r="AW96" s="12">
        <f t="shared" si="37"/>
        <v>1.9140000000000004E-2</v>
      </c>
      <c r="AX96" s="12"/>
      <c r="AY96" s="12"/>
      <c r="AZ96" s="12">
        <f t="shared" si="38"/>
        <v>1.9140000000000004E-2</v>
      </c>
      <c r="BA96" s="12">
        <v>1.9140000000000004E-2</v>
      </c>
      <c r="BB96" s="7"/>
      <c r="BC96" s="12"/>
      <c r="BD96" s="12">
        <f t="shared" si="39"/>
        <v>1.9140000000000004E-2</v>
      </c>
      <c r="BE96" s="12"/>
      <c r="BF96" s="7"/>
      <c r="BG96" s="12"/>
      <c r="BH96" s="12">
        <f t="shared" si="40"/>
        <v>0</v>
      </c>
      <c r="BI96" s="7"/>
    </row>
    <row r="97" spans="1:61">
      <c r="A97" t="s">
        <v>241</v>
      </c>
      <c r="B97" t="s">
        <v>242</v>
      </c>
      <c r="C97" t="s">
        <v>243</v>
      </c>
      <c r="E97" t="s">
        <v>95</v>
      </c>
      <c r="G97" s="31">
        <v>43915</v>
      </c>
      <c r="H97" s="31">
        <v>43914</v>
      </c>
      <c r="I97" s="31">
        <v>43921</v>
      </c>
      <c r="J97" s="12">
        <f t="shared" si="32"/>
        <v>4.5830000000000003E-2</v>
      </c>
      <c r="M97" s="12">
        <f t="shared" si="33"/>
        <v>4.5830000000000003E-2</v>
      </c>
      <c r="N97" s="12">
        <f>0.04583-Z97</f>
        <v>1.237485E-2</v>
      </c>
      <c r="Q97" s="12">
        <f t="shared" si="34"/>
        <v>1.237485E-2</v>
      </c>
      <c r="U97" s="12">
        <f t="shared" si="35"/>
        <v>0</v>
      </c>
      <c r="Z97" s="12">
        <v>3.3455150000000003E-2</v>
      </c>
      <c r="AE97" s="30"/>
      <c r="AJ97" s="12">
        <f t="shared" si="36"/>
        <v>0</v>
      </c>
      <c r="AL97" s="1" t="s">
        <v>101</v>
      </c>
      <c r="AM97" s="1" t="s">
        <v>101</v>
      </c>
      <c r="AN97" s="29" t="s">
        <v>98</v>
      </c>
      <c r="AW97" s="12">
        <f t="shared" si="37"/>
        <v>4.583000000000001E-2</v>
      </c>
      <c r="AX97" s="12"/>
      <c r="AY97" s="12"/>
      <c r="AZ97" s="12">
        <f t="shared" si="38"/>
        <v>4.583000000000001E-2</v>
      </c>
      <c r="BA97" s="12">
        <v>4.583000000000001E-2</v>
      </c>
      <c r="BB97" s="7"/>
      <c r="BC97" s="12"/>
      <c r="BD97" s="12">
        <f t="shared" si="39"/>
        <v>4.583000000000001E-2</v>
      </c>
      <c r="BE97" s="12"/>
      <c r="BF97" s="7"/>
      <c r="BG97" s="12"/>
      <c r="BH97" s="12">
        <f t="shared" si="40"/>
        <v>0</v>
      </c>
      <c r="BI97" s="7"/>
    </row>
    <row r="98" spans="1:61">
      <c r="A98" t="s">
        <v>244</v>
      </c>
      <c r="B98" t="s">
        <v>245</v>
      </c>
      <c r="C98" t="s">
        <v>246</v>
      </c>
      <c r="E98" t="s">
        <v>95</v>
      </c>
      <c r="G98" s="31">
        <v>43915</v>
      </c>
      <c r="H98" s="31">
        <v>43914</v>
      </c>
      <c r="I98" s="31">
        <v>43921</v>
      </c>
      <c r="J98" s="12">
        <f t="shared" si="32"/>
        <v>1.217E-2</v>
      </c>
      <c r="M98" s="12">
        <f t="shared" si="33"/>
        <v>1.217E-2</v>
      </c>
      <c r="N98" s="12">
        <f>0.01217-Z98</f>
        <v>9.8213800000000011E-3</v>
      </c>
      <c r="Q98" s="12">
        <f t="shared" si="34"/>
        <v>9.8213800000000011E-3</v>
      </c>
      <c r="R98" s="12">
        <f t="shared" ref="R98:R104" si="41">N98*1</f>
        <v>9.8213800000000011E-3</v>
      </c>
      <c r="U98" s="12">
        <f t="shared" si="35"/>
        <v>9.8213800000000011E-3</v>
      </c>
      <c r="Z98" s="12">
        <v>2.34862E-3</v>
      </c>
      <c r="AE98" s="30"/>
      <c r="AJ98" s="12">
        <f t="shared" si="36"/>
        <v>0</v>
      </c>
      <c r="AL98" s="1" t="s">
        <v>101</v>
      </c>
      <c r="AM98" s="1" t="s">
        <v>101</v>
      </c>
      <c r="AN98" s="29" t="s">
        <v>98</v>
      </c>
      <c r="AW98" s="12">
        <f t="shared" si="37"/>
        <v>1.2170000000000004E-2</v>
      </c>
      <c r="AX98" s="12"/>
      <c r="AY98" s="12"/>
      <c r="AZ98" s="12">
        <f t="shared" si="38"/>
        <v>1.2170000000000004E-2</v>
      </c>
      <c r="BA98" s="12">
        <v>1.2170000000000004E-2</v>
      </c>
      <c r="BB98" s="7"/>
      <c r="BC98" s="12"/>
      <c r="BD98" s="12">
        <f t="shared" si="39"/>
        <v>1.2170000000000004E-2</v>
      </c>
      <c r="BE98" s="12"/>
      <c r="BF98" s="7"/>
      <c r="BG98" s="12"/>
      <c r="BH98" s="12">
        <f t="shared" si="40"/>
        <v>0</v>
      </c>
      <c r="BI98" s="7"/>
    </row>
    <row r="99" spans="1:61">
      <c r="A99" t="s">
        <v>247</v>
      </c>
      <c r="B99" t="s">
        <v>248</v>
      </c>
      <c r="C99" t="s">
        <v>249</v>
      </c>
      <c r="E99" t="s">
        <v>95</v>
      </c>
      <c r="G99" s="31">
        <v>44006</v>
      </c>
      <c r="H99" s="31">
        <v>44005</v>
      </c>
      <c r="I99" s="31">
        <v>44012</v>
      </c>
      <c r="J99" s="12">
        <f t="shared" si="32"/>
        <v>0.29042000000000001</v>
      </c>
      <c r="M99" s="12">
        <f t="shared" si="33"/>
        <v>0.29042000000000001</v>
      </c>
      <c r="N99" s="12">
        <f>0.29042-Z99</f>
        <v>0.1170824</v>
      </c>
      <c r="Q99" s="12">
        <f t="shared" si="34"/>
        <v>0.1170824</v>
      </c>
      <c r="R99" s="12">
        <f t="shared" si="41"/>
        <v>0.1170824</v>
      </c>
      <c r="U99" s="12">
        <f t="shared" si="35"/>
        <v>0.1170824</v>
      </c>
      <c r="Z99" s="12">
        <v>0.17333760000000001</v>
      </c>
      <c r="AE99" s="30"/>
      <c r="AJ99" s="12">
        <f t="shared" si="36"/>
        <v>0</v>
      </c>
      <c r="AL99" s="1" t="s">
        <v>101</v>
      </c>
      <c r="AM99" s="1" t="s">
        <v>101</v>
      </c>
      <c r="AN99" s="29" t="s">
        <v>98</v>
      </c>
      <c r="AW99" s="12">
        <f t="shared" si="37"/>
        <v>0.29042000000000001</v>
      </c>
      <c r="AX99" s="12"/>
      <c r="AY99" s="12"/>
      <c r="AZ99" s="12">
        <f t="shared" si="38"/>
        <v>0.29042000000000001</v>
      </c>
      <c r="BA99" s="12">
        <v>0.29042000000000001</v>
      </c>
      <c r="BB99" s="7"/>
      <c r="BC99" s="12"/>
      <c r="BD99" s="12">
        <f t="shared" si="39"/>
        <v>0.29042000000000001</v>
      </c>
      <c r="BE99" s="12"/>
      <c r="BF99" s="7"/>
      <c r="BG99" s="12"/>
      <c r="BH99" s="12">
        <f t="shared" si="40"/>
        <v>0</v>
      </c>
      <c r="BI99" s="7"/>
    </row>
    <row r="100" spans="1:61">
      <c r="A100" t="s">
        <v>247</v>
      </c>
      <c r="B100" t="s">
        <v>248</v>
      </c>
      <c r="C100" t="s">
        <v>249</v>
      </c>
      <c r="G100" s="31">
        <v>44188</v>
      </c>
      <c r="H100" s="31">
        <v>44187</v>
      </c>
      <c r="I100" s="31">
        <v>44195</v>
      </c>
      <c r="J100" s="12">
        <f t="shared" si="32"/>
        <v>0.10503999999999998</v>
      </c>
      <c r="M100" s="12">
        <f t="shared" si="33"/>
        <v>0.10503999999999998</v>
      </c>
      <c r="N100" s="12">
        <v>0.10503999999999998</v>
      </c>
      <c r="Q100" s="12">
        <f t="shared" si="34"/>
        <v>0.10503999999999998</v>
      </c>
      <c r="R100" s="12">
        <f t="shared" si="41"/>
        <v>0.10503999999999998</v>
      </c>
      <c r="U100" s="12">
        <f t="shared" si="35"/>
        <v>0.10503999999999998</v>
      </c>
      <c r="AE100" s="30"/>
      <c r="AJ100" s="12">
        <f t="shared" si="36"/>
        <v>0</v>
      </c>
      <c r="AL100" s="1" t="s">
        <v>101</v>
      </c>
      <c r="AM100" s="1" t="s">
        <v>101</v>
      </c>
      <c r="AN100" s="29" t="s">
        <v>98</v>
      </c>
      <c r="AW100" s="12">
        <f t="shared" si="37"/>
        <v>0.10503999999999998</v>
      </c>
      <c r="AX100" s="12"/>
      <c r="AY100" s="12"/>
      <c r="AZ100" s="12">
        <f t="shared" si="38"/>
        <v>0.10503999999999998</v>
      </c>
      <c r="BA100" s="12">
        <v>0.10503999999999998</v>
      </c>
      <c r="BB100" s="7"/>
      <c r="BC100" s="12"/>
      <c r="BD100" s="12">
        <f t="shared" si="39"/>
        <v>0.10503999999999998</v>
      </c>
      <c r="BE100" s="12"/>
      <c r="BF100" s="7"/>
      <c r="BG100" s="12"/>
      <c r="BH100" s="12">
        <f t="shared" si="40"/>
        <v>0</v>
      </c>
      <c r="BI100" s="7"/>
    </row>
    <row r="101" spans="1:61">
      <c r="A101" t="s">
        <v>250</v>
      </c>
      <c r="B101" t="s">
        <v>251</v>
      </c>
      <c r="C101" t="s">
        <v>252</v>
      </c>
      <c r="E101" t="s">
        <v>95</v>
      </c>
      <c r="G101" s="31">
        <v>44006</v>
      </c>
      <c r="H101" s="31">
        <v>44005</v>
      </c>
      <c r="I101" s="31">
        <v>44012</v>
      </c>
      <c r="J101" s="12">
        <f t="shared" si="32"/>
        <v>1.047E-2</v>
      </c>
      <c r="M101" s="12">
        <f t="shared" si="33"/>
        <v>1.047E-2</v>
      </c>
      <c r="N101" s="12">
        <f>0.01047-Z101</f>
        <v>5.6528500000000001E-3</v>
      </c>
      <c r="Q101" s="12">
        <f t="shared" si="34"/>
        <v>5.6528500000000001E-3</v>
      </c>
      <c r="R101" s="12">
        <f t="shared" si="41"/>
        <v>5.6528500000000001E-3</v>
      </c>
      <c r="U101" s="12">
        <f t="shared" si="35"/>
        <v>5.6528500000000001E-3</v>
      </c>
      <c r="Z101" s="12">
        <v>4.8171500000000001E-3</v>
      </c>
      <c r="AE101" s="30"/>
      <c r="AJ101" s="12">
        <f t="shared" si="36"/>
        <v>0</v>
      </c>
      <c r="AL101" s="1" t="s">
        <v>101</v>
      </c>
      <c r="AM101" s="1" t="s">
        <v>101</v>
      </c>
      <c r="AN101" s="29" t="s">
        <v>98</v>
      </c>
      <c r="AW101" s="12">
        <f t="shared" si="37"/>
        <v>1.0469999999999997E-2</v>
      </c>
      <c r="AX101" s="12"/>
      <c r="AY101" s="12"/>
      <c r="AZ101" s="12">
        <f t="shared" si="38"/>
        <v>1.0469999999999997E-2</v>
      </c>
      <c r="BA101" s="12">
        <v>1.0469999999999997E-2</v>
      </c>
      <c r="BB101" s="7"/>
      <c r="BC101" s="12"/>
      <c r="BD101" s="12">
        <f t="shared" si="39"/>
        <v>1.0469999999999997E-2</v>
      </c>
      <c r="BE101" s="12"/>
      <c r="BF101" s="7"/>
      <c r="BG101" s="12"/>
      <c r="BH101" s="12">
        <f t="shared" si="40"/>
        <v>0</v>
      </c>
      <c r="BI101" s="7"/>
    </row>
    <row r="102" spans="1:61">
      <c r="A102" t="s">
        <v>250</v>
      </c>
      <c r="B102" t="s">
        <v>251</v>
      </c>
      <c r="C102" t="s">
        <v>252</v>
      </c>
      <c r="G102" s="31">
        <v>44188</v>
      </c>
      <c r="H102" s="31">
        <v>44187</v>
      </c>
      <c r="I102" s="31">
        <v>44195</v>
      </c>
      <c r="J102" s="12">
        <f t="shared" si="32"/>
        <v>1.1890000000000001E-2</v>
      </c>
      <c r="M102" s="12">
        <f t="shared" si="33"/>
        <v>1.1890000000000001E-2</v>
      </c>
      <c r="N102" s="12">
        <v>1.1890000000000001E-2</v>
      </c>
      <c r="Q102" s="12">
        <f t="shared" si="34"/>
        <v>1.1890000000000001E-2</v>
      </c>
      <c r="R102" s="12">
        <f t="shared" si="41"/>
        <v>1.1890000000000001E-2</v>
      </c>
      <c r="U102" s="12">
        <f t="shared" si="35"/>
        <v>1.1890000000000001E-2</v>
      </c>
      <c r="AE102" s="30"/>
      <c r="AJ102" s="12">
        <f t="shared" si="36"/>
        <v>0</v>
      </c>
      <c r="AL102" s="1" t="s">
        <v>101</v>
      </c>
      <c r="AM102" s="1" t="s">
        <v>101</v>
      </c>
      <c r="AN102" s="29" t="s">
        <v>98</v>
      </c>
      <c r="AW102" s="12">
        <f t="shared" si="37"/>
        <v>1.1890000000000001E-2</v>
      </c>
      <c r="AX102" s="12"/>
      <c r="AY102" s="12"/>
      <c r="AZ102" s="12">
        <f t="shared" si="38"/>
        <v>1.1890000000000001E-2</v>
      </c>
      <c r="BA102" s="12">
        <v>1.1890000000000001E-2</v>
      </c>
      <c r="BB102" s="7"/>
      <c r="BC102" s="12"/>
      <c r="BD102" s="12">
        <f t="shared" si="39"/>
        <v>1.1890000000000001E-2</v>
      </c>
      <c r="BE102" s="12"/>
      <c r="BF102" s="7"/>
      <c r="BG102" s="12"/>
      <c r="BH102" s="12">
        <f t="shared" si="40"/>
        <v>0</v>
      </c>
      <c r="BI102" s="7"/>
    </row>
    <row r="103" spans="1:61">
      <c r="A103" t="s">
        <v>253</v>
      </c>
      <c r="B103" t="s">
        <v>254</v>
      </c>
      <c r="C103" t="s">
        <v>255</v>
      </c>
      <c r="E103" t="s">
        <v>95</v>
      </c>
      <c r="G103" s="31">
        <v>44006</v>
      </c>
      <c r="H103" s="31">
        <v>44005</v>
      </c>
      <c r="I103" s="31">
        <v>44012</v>
      </c>
      <c r="J103" s="12">
        <f t="shared" si="32"/>
        <v>2.734E-2</v>
      </c>
      <c r="M103" s="12">
        <f t="shared" si="33"/>
        <v>2.734E-2</v>
      </c>
      <c r="N103" s="12">
        <f>0.02734-Z103</f>
        <v>0</v>
      </c>
      <c r="Q103" s="12">
        <f t="shared" si="34"/>
        <v>0</v>
      </c>
      <c r="R103" s="12">
        <f t="shared" si="41"/>
        <v>0</v>
      </c>
      <c r="U103" s="12">
        <f t="shared" si="35"/>
        <v>0</v>
      </c>
      <c r="Z103" s="12">
        <v>2.734E-2</v>
      </c>
      <c r="AE103" s="30"/>
      <c r="AJ103" s="12">
        <f t="shared" si="36"/>
        <v>0</v>
      </c>
      <c r="AL103" s="1" t="s">
        <v>101</v>
      </c>
      <c r="AM103" s="1" t="s">
        <v>101</v>
      </c>
      <c r="AN103" s="29" t="s">
        <v>98</v>
      </c>
      <c r="AW103" s="12">
        <f t="shared" si="37"/>
        <v>2.734E-2</v>
      </c>
      <c r="AX103" s="12"/>
      <c r="AY103" s="12"/>
      <c r="AZ103" s="12">
        <f t="shared" si="38"/>
        <v>2.734E-2</v>
      </c>
      <c r="BA103" s="12">
        <v>2.734E-2</v>
      </c>
      <c r="BB103" s="7"/>
      <c r="BC103" s="12"/>
      <c r="BD103" s="12">
        <f t="shared" si="39"/>
        <v>2.734E-2</v>
      </c>
      <c r="BE103" s="12"/>
      <c r="BF103" s="7"/>
      <c r="BG103" s="12"/>
      <c r="BH103" s="12">
        <f t="shared" si="40"/>
        <v>0</v>
      </c>
      <c r="BI103" s="7"/>
    </row>
    <row r="104" spans="1:61">
      <c r="A104" t="s">
        <v>253</v>
      </c>
      <c r="B104" t="s">
        <v>254</v>
      </c>
      <c r="C104" t="s">
        <v>255</v>
      </c>
      <c r="G104" s="31">
        <v>44188</v>
      </c>
      <c r="H104" s="31">
        <v>44187</v>
      </c>
      <c r="I104" s="31">
        <v>44195</v>
      </c>
      <c r="J104" s="12">
        <f t="shared" si="32"/>
        <v>4.7229999999999987E-2</v>
      </c>
      <c r="M104" s="12">
        <f t="shared" si="33"/>
        <v>4.7229999999999987E-2</v>
      </c>
      <c r="N104" s="12">
        <v>4.7229999999999987E-2</v>
      </c>
      <c r="Q104" s="12">
        <f t="shared" si="34"/>
        <v>4.7229999999999987E-2</v>
      </c>
      <c r="R104" s="12">
        <f t="shared" si="41"/>
        <v>4.7229999999999987E-2</v>
      </c>
      <c r="U104" s="12">
        <f t="shared" si="35"/>
        <v>4.7229999999999987E-2</v>
      </c>
      <c r="AE104" s="30"/>
      <c r="AJ104" s="12">
        <f t="shared" si="36"/>
        <v>0</v>
      </c>
      <c r="AL104" s="1" t="s">
        <v>101</v>
      </c>
      <c r="AM104" s="1" t="s">
        <v>101</v>
      </c>
      <c r="AN104" s="29" t="s">
        <v>98</v>
      </c>
      <c r="AW104" s="12">
        <f t="shared" si="37"/>
        <v>4.7229999999999987E-2</v>
      </c>
      <c r="AX104" s="12"/>
      <c r="AY104" s="12"/>
      <c r="AZ104" s="12">
        <f t="shared" si="38"/>
        <v>4.7229999999999987E-2</v>
      </c>
      <c r="BA104" s="12">
        <v>4.7229999999999987E-2</v>
      </c>
      <c r="BB104" s="7"/>
      <c r="BC104" s="12"/>
      <c r="BD104" s="12">
        <f t="shared" si="39"/>
        <v>4.7229999999999987E-2</v>
      </c>
      <c r="BE104" s="12"/>
      <c r="BF104" s="7"/>
      <c r="BG104" s="12"/>
      <c r="BH104" s="12">
        <f t="shared" si="40"/>
        <v>0</v>
      </c>
      <c r="BI104" s="7"/>
    </row>
    <row r="105" spans="1:61">
      <c r="A105" t="s">
        <v>256</v>
      </c>
      <c r="B105" t="s">
        <v>257</v>
      </c>
      <c r="C105" t="s">
        <v>258</v>
      </c>
      <c r="E105" t="s">
        <v>95</v>
      </c>
      <c r="G105" s="31">
        <v>43915</v>
      </c>
      <c r="H105" s="31">
        <v>43914</v>
      </c>
      <c r="I105" s="31">
        <v>43921</v>
      </c>
      <c r="J105" s="12">
        <f t="shared" si="32"/>
        <v>5.9950000000000003E-2</v>
      </c>
      <c r="M105" s="12">
        <f t="shared" si="33"/>
        <v>5.9950000000000003E-2</v>
      </c>
      <c r="N105" s="12">
        <f>0.05995-Z105</f>
        <v>3.0259320000000003E-2</v>
      </c>
      <c r="Q105" s="12">
        <f t="shared" si="34"/>
        <v>3.0259320000000003E-2</v>
      </c>
      <c r="U105" s="12">
        <f t="shared" si="35"/>
        <v>0</v>
      </c>
      <c r="Z105" s="12">
        <v>2.9690680000000001E-2</v>
      </c>
      <c r="AE105" s="30"/>
      <c r="AJ105" s="12">
        <f t="shared" si="36"/>
        <v>0</v>
      </c>
      <c r="AL105" s="1" t="s">
        <v>101</v>
      </c>
      <c r="AM105" s="1" t="s">
        <v>101</v>
      </c>
      <c r="AN105" s="29" t="s">
        <v>98</v>
      </c>
      <c r="AW105" s="12">
        <f t="shared" si="37"/>
        <v>5.9950000000000003E-2</v>
      </c>
      <c r="AX105" s="12"/>
      <c r="AY105" s="12"/>
      <c r="AZ105" s="12">
        <f t="shared" si="38"/>
        <v>5.9950000000000003E-2</v>
      </c>
      <c r="BA105" s="12">
        <v>5.9950000000000003E-2</v>
      </c>
      <c r="BB105" s="7"/>
      <c r="BC105" s="12"/>
      <c r="BD105" s="12">
        <f t="shared" si="39"/>
        <v>5.9950000000000003E-2</v>
      </c>
      <c r="BE105" s="12"/>
      <c r="BF105" s="7"/>
      <c r="BG105" s="12"/>
      <c r="BH105" s="12">
        <f t="shared" si="40"/>
        <v>0</v>
      </c>
      <c r="BI105" s="7"/>
    </row>
    <row r="106" spans="1:61">
      <c r="A106" t="s">
        <v>259</v>
      </c>
      <c r="B106" t="s">
        <v>260</v>
      </c>
      <c r="C106" t="s">
        <v>261</v>
      </c>
      <c r="E106" t="s">
        <v>108</v>
      </c>
      <c r="G106" s="31">
        <v>43915</v>
      </c>
      <c r="H106" s="31">
        <v>43914</v>
      </c>
      <c r="I106" s="31">
        <v>43921</v>
      </c>
      <c r="J106" s="12">
        <f t="shared" si="32"/>
        <v>0.15453</v>
      </c>
      <c r="M106" s="12">
        <f t="shared" si="33"/>
        <v>0.15453</v>
      </c>
      <c r="N106" s="12">
        <f>0.15453-Z106</f>
        <v>0.14211034</v>
      </c>
      <c r="Q106" s="12">
        <f t="shared" si="34"/>
        <v>0.14211034</v>
      </c>
      <c r="R106" s="12">
        <f t="shared" ref="R106:R114" si="42">N106*1</f>
        <v>0.14211034</v>
      </c>
      <c r="U106" s="12">
        <f t="shared" si="35"/>
        <v>0.14211034</v>
      </c>
      <c r="Z106" s="12">
        <v>1.2419660000000001E-2</v>
      </c>
      <c r="AE106" s="30"/>
      <c r="AJ106" s="12">
        <f t="shared" si="36"/>
        <v>0</v>
      </c>
      <c r="AL106" s="1" t="s">
        <v>101</v>
      </c>
      <c r="AM106" s="1" t="s">
        <v>101</v>
      </c>
      <c r="AN106" s="29" t="s">
        <v>98</v>
      </c>
      <c r="AW106" s="12">
        <f t="shared" si="37"/>
        <v>0.15453</v>
      </c>
      <c r="AX106" s="12"/>
      <c r="AY106" s="12"/>
      <c r="AZ106" s="12">
        <f t="shared" si="38"/>
        <v>0.15453</v>
      </c>
      <c r="BA106" s="12">
        <v>0.15453</v>
      </c>
      <c r="BB106" s="7"/>
      <c r="BC106" s="12"/>
      <c r="BD106" s="12">
        <f t="shared" si="39"/>
        <v>0.15453</v>
      </c>
      <c r="BE106" s="12"/>
      <c r="BF106" s="7"/>
      <c r="BG106" s="12"/>
      <c r="BH106" s="12">
        <f t="shared" si="40"/>
        <v>0</v>
      </c>
      <c r="BI106" s="7"/>
    </row>
    <row r="107" spans="1:61">
      <c r="A107" t="s">
        <v>259</v>
      </c>
      <c r="B107" t="s">
        <v>260</v>
      </c>
      <c r="C107" t="s">
        <v>261</v>
      </c>
      <c r="E107" t="s">
        <v>108</v>
      </c>
      <c r="G107" s="31">
        <v>44006</v>
      </c>
      <c r="H107" s="31">
        <v>44005</v>
      </c>
      <c r="I107" s="31">
        <v>44012</v>
      </c>
      <c r="J107" s="12">
        <f t="shared" si="32"/>
        <v>1.9730000000000001E-2</v>
      </c>
      <c r="M107" s="12">
        <f t="shared" si="33"/>
        <v>1.9730000000000001E-2</v>
      </c>
      <c r="N107" s="12">
        <f>0.01973-Z107</f>
        <v>1.814429E-2</v>
      </c>
      <c r="Q107" s="12">
        <f t="shared" si="34"/>
        <v>1.814429E-2</v>
      </c>
      <c r="R107" s="12">
        <f t="shared" si="42"/>
        <v>1.814429E-2</v>
      </c>
      <c r="U107" s="12">
        <f t="shared" si="35"/>
        <v>1.814429E-2</v>
      </c>
      <c r="Z107" s="12">
        <v>1.5857099999999999E-3</v>
      </c>
      <c r="AE107" s="30"/>
      <c r="AJ107" s="12">
        <f t="shared" si="36"/>
        <v>0</v>
      </c>
      <c r="AL107" s="1" t="s">
        <v>101</v>
      </c>
      <c r="AM107" s="1" t="s">
        <v>101</v>
      </c>
      <c r="AN107" s="29" t="s">
        <v>98</v>
      </c>
      <c r="AW107" s="12">
        <f t="shared" si="37"/>
        <v>1.9729999999999998E-2</v>
      </c>
      <c r="AX107" s="12"/>
      <c r="AY107" s="12"/>
      <c r="AZ107" s="12">
        <f t="shared" si="38"/>
        <v>1.9729999999999998E-2</v>
      </c>
      <c r="BA107" s="12">
        <v>1.9729999999999998E-2</v>
      </c>
      <c r="BB107" s="7"/>
      <c r="BC107" s="12"/>
      <c r="BD107" s="12">
        <f t="shared" si="39"/>
        <v>1.9729999999999998E-2</v>
      </c>
      <c r="BE107" s="12"/>
      <c r="BF107" s="7"/>
      <c r="BG107" s="12"/>
      <c r="BH107" s="12">
        <f t="shared" si="40"/>
        <v>0</v>
      </c>
      <c r="BI107" s="7"/>
    </row>
    <row r="108" spans="1:61">
      <c r="A108" t="s">
        <v>259</v>
      </c>
      <c r="B108" t="s">
        <v>260</v>
      </c>
      <c r="C108" t="s">
        <v>261</v>
      </c>
      <c r="E108" t="s">
        <v>95</v>
      </c>
      <c r="G108" s="31">
        <v>44097</v>
      </c>
      <c r="H108" s="31">
        <v>44096</v>
      </c>
      <c r="I108" s="31">
        <v>44103</v>
      </c>
      <c r="J108" s="12">
        <f t="shared" si="32"/>
        <v>2.596E-2</v>
      </c>
      <c r="M108" s="12">
        <f t="shared" si="33"/>
        <v>2.596E-2</v>
      </c>
      <c r="N108" s="12">
        <f>0.02596-Z108</f>
        <v>2.3873580000000002E-2</v>
      </c>
      <c r="Q108" s="12">
        <f t="shared" si="34"/>
        <v>2.3873580000000002E-2</v>
      </c>
      <c r="R108" s="12">
        <f t="shared" si="42"/>
        <v>2.3873580000000002E-2</v>
      </c>
      <c r="U108" s="12">
        <f t="shared" si="35"/>
        <v>2.3873580000000002E-2</v>
      </c>
      <c r="Z108" s="12">
        <v>2.0864199999999999E-3</v>
      </c>
      <c r="AE108" s="30"/>
      <c r="AJ108" s="12">
        <f t="shared" si="36"/>
        <v>0</v>
      </c>
      <c r="AL108" s="1" t="s">
        <v>101</v>
      </c>
      <c r="AM108" s="1" t="s">
        <v>101</v>
      </c>
      <c r="AN108" s="29" t="s">
        <v>98</v>
      </c>
      <c r="AW108" s="12">
        <f t="shared" si="37"/>
        <v>2.596E-2</v>
      </c>
      <c r="AX108" s="12"/>
      <c r="AY108" s="12"/>
      <c r="AZ108" s="12">
        <f t="shared" si="38"/>
        <v>2.596E-2</v>
      </c>
      <c r="BA108" s="12">
        <v>2.596E-2</v>
      </c>
      <c r="BB108" s="7"/>
      <c r="BC108" s="12"/>
      <c r="BD108" s="12">
        <f t="shared" si="39"/>
        <v>2.596E-2</v>
      </c>
      <c r="BE108" s="12"/>
      <c r="BF108" s="7"/>
      <c r="BG108" s="12"/>
      <c r="BH108" s="12">
        <f t="shared" si="40"/>
        <v>0</v>
      </c>
      <c r="BI108" s="7"/>
    </row>
    <row r="109" spans="1:61">
      <c r="A109" t="s">
        <v>259</v>
      </c>
      <c r="B109" t="s">
        <v>260</v>
      </c>
      <c r="C109" t="s">
        <v>261</v>
      </c>
      <c r="G109" s="31">
        <v>44188</v>
      </c>
      <c r="H109" s="31">
        <v>44187</v>
      </c>
      <c r="I109" s="31">
        <v>44195</v>
      </c>
      <c r="J109" s="12">
        <f t="shared" si="32"/>
        <v>3.9670000000000004E-2</v>
      </c>
      <c r="M109" s="12">
        <f t="shared" si="33"/>
        <v>3.9670000000000004E-2</v>
      </c>
      <c r="N109" s="12">
        <v>3.9670000000000004E-2</v>
      </c>
      <c r="Q109" s="12">
        <f t="shared" si="34"/>
        <v>3.9670000000000004E-2</v>
      </c>
      <c r="R109" s="12">
        <f t="shared" si="42"/>
        <v>3.9670000000000004E-2</v>
      </c>
      <c r="U109" s="12">
        <f t="shared" si="35"/>
        <v>3.9670000000000004E-2</v>
      </c>
      <c r="AE109" s="30"/>
      <c r="AJ109" s="12">
        <f t="shared" si="36"/>
        <v>0</v>
      </c>
      <c r="AL109" s="1" t="s">
        <v>101</v>
      </c>
      <c r="AM109" s="1" t="s">
        <v>101</v>
      </c>
      <c r="AN109" s="29" t="s">
        <v>98</v>
      </c>
      <c r="AW109" s="12">
        <f t="shared" si="37"/>
        <v>3.9670000000000004E-2</v>
      </c>
      <c r="AX109" s="12"/>
      <c r="AY109" s="12"/>
      <c r="AZ109" s="12">
        <f t="shared" si="38"/>
        <v>3.9670000000000004E-2</v>
      </c>
      <c r="BA109" s="12">
        <v>3.9670000000000004E-2</v>
      </c>
      <c r="BB109" s="7"/>
      <c r="BC109" s="12"/>
      <c r="BD109" s="12">
        <f t="shared" si="39"/>
        <v>3.9670000000000004E-2</v>
      </c>
      <c r="BE109" s="12"/>
      <c r="BF109" s="7"/>
      <c r="BG109" s="12"/>
      <c r="BH109" s="12">
        <f t="shared" si="40"/>
        <v>0</v>
      </c>
      <c r="BI109" s="7"/>
    </row>
    <row r="110" spans="1:61">
      <c r="A110" t="s">
        <v>262</v>
      </c>
      <c r="B110" t="s">
        <v>263</v>
      </c>
      <c r="C110" t="s">
        <v>264</v>
      </c>
      <c r="G110" s="31">
        <v>43915</v>
      </c>
      <c r="H110" s="31">
        <v>43914</v>
      </c>
      <c r="I110" s="31">
        <v>43921</v>
      </c>
      <c r="J110" s="12">
        <f t="shared" si="32"/>
        <v>4.07E-2</v>
      </c>
      <c r="M110" s="12">
        <f t="shared" si="33"/>
        <v>4.07E-2</v>
      </c>
      <c r="N110" s="12">
        <v>4.07E-2</v>
      </c>
      <c r="Q110" s="12">
        <f t="shared" si="34"/>
        <v>4.07E-2</v>
      </c>
      <c r="R110" s="12">
        <f t="shared" si="42"/>
        <v>4.07E-2</v>
      </c>
      <c r="U110" s="12">
        <f t="shared" si="35"/>
        <v>4.07E-2</v>
      </c>
      <c r="AE110" s="30"/>
      <c r="AJ110" s="12">
        <f t="shared" si="36"/>
        <v>0</v>
      </c>
      <c r="AL110" s="1" t="s">
        <v>101</v>
      </c>
      <c r="AM110" s="1" t="s">
        <v>101</v>
      </c>
      <c r="AN110" s="29" t="s">
        <v>98</v>
      </c>
      <c r="AW110" s="12">
        <f t="shared" si="37"/>
        <v>4.07E-2</v>
      </c>
      <c r="AX110" s="12"/>
      <c r="AY110" s="12"/>
      <c r="AZ110" s="12">
        <f t="shared" si="38"/>
        <v>4.07E-2</v>
      </c>
      <c r="BA110" s="12">
        <v>4.07E-2</v>
      </c>
      <c r="BB110" s="7"/>
      <c r="BC110" s="12"/>
      <c r="BD110" s="12">
        <f t="shared" si="39"/>
        <v>4.07E-2</v>
      </c>
      <c r="BE110" s="12"/>
      <c r="BF110" s="7"/>
      <c r="BG110" s="12"/>
      <c r="BH110" s="12">
        <f t="shared" si="40"/>
        <v>0</v>
      </c>
      <c r="BI110" s="7"/>
    </row>
    <row r="111" spans="1:61">
      <c r="A111" t="s">
        <v>262</v>
      </c>
      <c r="B111" t="s">
        <v>263</v>
      </c>
      <c r="C111" t="s">
        <v>264</v>
      </c>
      <c r="G111" s="31">
        <v>44006</v>
      </c>
      <c r="H111" s="31">
        <v>44005</v>
      </c>
      <c r="I111" s="31">
        <v>44012</v>
      </c>
      <c r="J111" s="12">
        <f t="shared" si="32"/>
        <v>0.17073000000000005</v>
      </c>
      <c r="M111" s="12">
        <f t="shared" si="33"/>
        <v>0.17073000000000005</v>
      </c>
      <c r="N111" s="12">
        <v>0.17073000000000005</v>
      </c>
      <c r="Q111" s="12">
        <f t="shared" si="34"/>
        <v>0.17073000000000005</v>
      </c>
      <c r="R111" s="12">
        <f t="shared" si="42"/>
        <v>0.17073000000000005</v>
      </c>
      <c r="U111" s="12">
        <f t="shared" si="35"/>
        <v>0.17073000000000005</v>
      </c>
      <c r="AE111" s="30"/>
      <c r="AJ111" s="12">
        <f t="shared" si="36"/>
        <v>0</v>
      </c>
      <c r="AL111" s="1" t="s">
        <v>101</v>
      </c>
      <c r="AM111" s="1" t="s">
        <v>101</v>
      </c>
      <c r="AN111" s="29" t="s">
        <v>98</v>
      </c>
      <c r="AW111" s="12">
        <f t="shared" si="37"/>
        <v>0.17073000000000005</v>
      </c>
      <c r="AX111" s="12"/>
      <c r="AY111" s="12"/>
      <c r="AZ111" s="12">
        <f t="shared" si="38"/>
        <v>0.17073000000000005</v>
      </c>
      <c r="BA111" s="12">
        <v>0.17073000000000005</v>
      </c>
      <c r="BB111" s="7"/>
      <c r="BC111" s="12"/>
      <c r="BD111" s="12">
        <f t="shared" si="39"/>
        <v>0.17073000000000005</v>
      </c>
      <c r="BE111" s="12"/>
      <c r="BF111" s="7"/>
      <c r="BG111" s="12"/>
      <c r="BH111" s="12">
        <f t="shared" si="40"/>
        <v>0</v>
      </c>
      <c r="BI111" s="7"/>
    </row>
    <row r="112" spans="1:61">
      <c r="A112" t="s">
        <v>262</v>
      </c>
      <c r="B112" t="s">
        <v>263</v>
      </c>
      <c r="C112" t="s">
        <v>264</v>
      </c>
      <c r="G112" s="31">
        <v>44097</v>
      </c>
      <c r="H112" s="31">
        <v>44096</v>
      </c>
      <c r="I112" s="31">
        <v>44103</v>
      </c>
      <c r="J112" s="12">
        <f t="shared" si="32"/>
        <v>0.22018000000000001</v>
      </c>
      <c r="M112" s="12">
        <f t="shared" si="33"/>
        <v>0.22018000000000001</v>
      </c>
      <c r="N112" s="12">
        <v>0.22018000000000001</v>
      </c>
      <c r="Q112" s="12">
        <f t="shared" si="34"/>
        <v>0.22018000000000001</v>
      </c>
      <c r="R112" s="12">
        <f t="shared" si="42"/>
        <v>0.22018000000000001</v>
      </c>
      <c r="U112" s="12">
        <f t="shared" si="35"/>
        <v>0.22018000000000001</v>
      </c>
      <c r="AE112" s="30"/>
      <c r="AJ112" s="12">
        <f t="shared" si="36"/>
        <v>0</v>
      </c>
      <c r="AL112" s="1" t="s">
        <v>101</v>
      </c>
      <c r="AM112" s="1" t="s">
        <v>101</v>
      </c>
      <c r="AN112" s="29" t="s">
        <v>98</v>
      </c>
      <c r="AW112" s="12">
        <f t="shared" si="37"/>
        <v>0.22018000000000001</v>
      </c>
      <c r="AX112" s="12"/>
      <c r="AY112" s="12"/>
      <c r="AZ112" s="12">
        <f t="shared" si="38"/>
        <v>0.22018000000000001</v>
      </c>
      <c r="BA112" s="12">
        <v>0.22018000000000001</v>
      </c>
      <c r="BB112" s="7"/>
      <c r="BC112" s="12"/>
      <c r="BD112" s="12">
        <f t="shared" si="39"/>
        <v>0.22018000000000001</v>
      </c>
      <c r="BE112" s="12"/>
      <c r="BF112" s="7"/>
      <c r="BG112" s="12"/>
      <c r="BH112" s="12">
        <f t="shared" si="40"/>
        <v>0</v>
      </c>
      <c r="BI112" s="7"/>
    </row>
    <row r="113" spans="1:61">
      <c r="A113" t="s">
        <v>262</v>
      </c>
      <c r="B113" t="s">
        <v>263</v>
      </c>
      <c r="C113" t="s">
        <v>264</v>
      </c>
      <c r="G113" s="31">
        <v>44188</v>
      </c>
      <c r="H113" s="31">
        <v>44187</v>
      </c>
      <c r="I113" s="31">
        <v>44195</v>
      </c>
      <c r="J113" s="12">
        <f t="shared" si="32"/>
        <v>0.28010000000000002</v>
      </c>
      <c r="M113" s="12">
        <f t="shared" si="33"/>
        <v>0.28010000000000002</v>
      </c>
      <c r="N113" s="12">
        <v>0.28010000000000002</v>
      </c>
      <c r="Q113" s="12">
        <f t="shared" si="34"/>
        <v>0.28010000000000002</v>
      </c>
      <c r="R113" s="12">
        <f t="shared" si="42"/>
        <v>0.28010000000000002</v>
      </c>
      <c r="U113" s="12">
        <f t="shared" si="35"/>
        <v>0.28010000000000002</v>
      </c>
      <c r="AE113" s="30"/>
      <c r="AJ113" s="12">
        <f t="shared" si="36"/>
        <v>0</v>
      </c>
      <c r="AL113" s="1" t="s">
        <v>101</v>
      </c>
      <c r="AM113" s="1" t="s">
        <v>101</v>
      </c>
      <c r="AN113" s="29" t="s">
        <v>98</v>
      </c>
      <c r="AW113" s="12">
        <f t="shared" si="37"/>
        <v>0.28010000000000002</v>
      </c>
      <c r="AX113" s="12"/>
      <c r="AY113" s="12"/>
      <c r="AZ113" s="12">
        <f t="shared" si="38"/>
        <v>0.28010000000000002</v>
      </c>
      <c r="BA113" s="12">
        <v>0.28010000000000002</v>
      </c>
      <c r="BB113" s="7"/>
      <c r="BC113" s="12"/>
      <c r="BD113" s="12">
        <f t="shared" si="39"/>
        <v>0.28010000000000002</v>
      </c>
      <c r="BE113" s="12"/>
      <c r="BF113" s="7"/>
      <c r="BG113" s="12"/>
      <c r="BH113" s="12">
        <f t="shared" si="40"/>
        <v>0</v>
      </c>
      <c r="BI113" s="7"/>
    </row>
    <row r="114" spans="1:61">
      <c r="A114" t="s">
        <v>265</v>
      </c>
      <c r="B114" t="s">
        <v>266</v>
      </c>
      <c r="C114" t="s">
        <v>267</v>
      </c>
      <c r="E114" t="s">
        <v>95</v>
      </c>
      <c r="G114" s="31">
        <v>43915</v>
      </c>
      <c r="H114" s="31">
        <v>43914</v>
      </c>
      <c r="I114" s="31">
        <v>43921</v>
      </c>
      <c r="J114" s="12">
        <f t="shared" si="32"/>
        <v>8.695E-2</v>
      </c>
      <c r="M114" s="12">
        <f t="shared" si="33"/>
        <v>8.695E-2</v>
      </c>
      <c r="N114" s="12">
        <f>0.08695-Z114</f>
        <v>4.6562439999999997E-2</v>
      </c>
      <c r="Q114" s="12">
        <f t="shared" si="34"/>
        <v>4.6562439999999997E-2</v>
      </c>
      <c r="R114" s="12">
        <f t="shared" si="42"/>
        <v>4.6562439999999997E-2</v>
      </c>
      <c r="U114" s="12">
        <f t="shared" si="35"/>
        <v>4.6562439999999997E-2</v>
      </c>
      <c r="Z114" s="12">
        <v>4.0387560000000003E-2</v>
      </c>
      <c r="AE114" s="30"/>
      <c r="AJ114" s="12">
        <f t="shared" si="36"/>
        <v>0</v>
      </c>
      <c r="AL114" s="1" t="s">
        <v>101</v>
      </c>
      <c r="AM114" s="1" t="s">
        <v>101</v>
      </c>
      <c r="AN114" s="29" t="s">
        <v>98</v>
      </c>
      <c r="AW114" s="12">
        <f t="shared" si="37"/>
        <v>8.695E-2</v>
      </c>
      <c r="AX114" s="12"/>
      <c r="AY114" s="12"/>
      <c r="AZ114" s="12">
        <f t="shared" si="38"/>
        <v>8.695E-2</v>
      </c>
      <c r="BA114" s="12">
        <v>8.695E-2</v>
      </c>
      <c r="BB114" s="7"/>
      <c r="BC114" s="12"/>
      <c r="BD114" s="12">
        <f t="shared" si="39"/>
        <v>8.695E-2</v>
      </c>
      <c r="BE114" s="12"/>
      <c r="BF114" s="7"/>
      <c r="BG114" s="12"/>
      <c r="BH114" s="12">
        <f t="shared" si="40"/>
        <v>0</v>
      </c>
      <c r="BI114" s="7"/>
    </row>
    <row r="115" spans="1:61">
      <c r="A115" t="s">
        <v>268</v>
      </c>
      <c r="B115" t="s">
        <v>269</v>
      </c>
      <c r="C115" t="s">
        <v>270</v>
      </c>
      <c r="G115" s="31">
        <v>44176</v>
      </c>
      <c r="H115" s="31">
        <v>44175</v>
      </c>
      <c r="I115" s="31">
        <v>44182</v>
      </c>
      <c r="J115" s="12">
        <f t="shared" si="32"/>
        <v>18.086169999999996</v>
      </c>
      <c r="M115" s="12">
        <f t="shared" si="33"/>
        <v>18.086169999999996</v>
      </c>
      <c r="O115" s="7">
        <v>18.086169999999996</v>
      </c>
      <c r="Q115" s="12">
        <f t="shared" si="34"/>
        <v>18.086169999999996</v>
      </c>
      <c r="S115" s="7">
        <f>O115*0.0061</f>
        <v>0.11032563699999998</v>
      </c>
      <c r="U115" s="12">
        <f t="shared" si="35"/>
        <v>0.11032563699999998</v>
      </c>
      <c r="AE115" s="30"/>
      <c r="AJ115" s="12">
        <f t="shared" si="36"/>
        <v>0</v>
      </c>
      <c r="AL115" s="1" t="s">
        <v>101</v>
      </c>
      <c r="AM115" s="1" t="s">
        <v>101</v>
      </c>
      <c r="AN115" s="29" t="s">
        <v>98</v>
      </c>
      <c r="AW115" s="12">
        <f t="shared" si="37"/>
        <v>18.086169999999996</v>
      </c>
      <c r="AX115" s="12"/>
      <c r="AY115" s="12"/>
      <c r="AZ115" s="12">
        <f t="shared" si="38"/>
        <v>18.086169999999996</v>
      </c>
      <c r="BA115" s="12"/>
      <c r="BB115" s="7">
        <v>18.086169999999996</v>
      </c>
      <c r="BC115" s="12"/>
      <c r="BD115" s="12">
        <f t="shared" si="39"/>
        <v>18.086169999999996</v>
      </c>
      <c r="BE115" s="12"/>
      <c r="BF115" s="7"/>
      <c r="BG115" s="12"/>
      <c r="BH115" s="12">
        <f t="shared" si="40"/>
        <v>0</v>
      </c>
      <c r="BI115" s="7"/>
    </row>
    <row r="116" spans="1:61">
      <c r="A116" t="s">
        <v>268</v>
      </c>
      <c r="B116" t="s">
        <v>269</v>
      </c>
      <c r="C116" t="s">
        <v>270</v>
      </c>
      <c r="G116" s="31">
        <v>44188</v>
      </c>
      <c r="H116" s="31">
        <v>44187</v>
      </c>
      <c r="I116" s="31">
        <v>44195</v>
      </c>
      <c r="J116" s="12">
        <f t="shared" si="32"/>
        <v>14.031099999999997</v>
      </c>
      <c r="M116" s="12">
        <f t="shared" si="33"/>
        <v>14.031099999999997</v>
      </c>
      <c r="N116" s="12">
        <v>14.031099999999997</v>
      </c>
      <c r="Q116" s="12">
        <f t="shared" si="34"/>
        <v>14.031099999999997</v>
      </c>
      <c r="R116" s="12">
        <f>N116*0.0061</f>
        <v>8.5589709999999986E-2</v>
      </c>
      <c r="U116" s="12">
        <f t="shared" si="35"/>
        <v>8.5589709999999986E-2</v>
      </c>
      <c r="AE116" s="30"/>
      <c r="AJ116" s="12">
        <f t="shared" si="36"/>
        <v>0</v>
      </c>
      <c r="AL116" s="1" t="s">
        <v>101</v>
      </c>
      <c r="AM116" s="1" t="s">
        <v>101</v>
      </c>
      <c r="AN116" s="29" t="s">
        <v>98</v>
      </c>
      <c r="AW116" s="12">
        <f t="shared" si="37"/>
        <v>14.031099999999997</v>
      </c>
      <c r="AX116" s="12"/>
      <c r="AY116" s="12"/>
      <c r="AZ116" s="12">
        <f t="shared" si="38"/>
        <v>14.031099999999997</v>
      </c>
      <c r="BA116" s="12">
        <v>14.031099999999997</v>
      </c>
      <c r="BB116" s="7"/>
      <c r="BC116" s="12"/>
      <c r="BD116" s="12">
        <f t="shared" si="39"/>
        <v>14.031099999999997</v>
      </c>
      <c r="BE116" s="12"/>
      <c r="BF116" s="7"/>
      <c r="BG116" s="12"/>
      <c r="BH116" s="12">
        <f t="shared" si="40"/>
        <v>0</v>
      </c>
      <c r="BI116" s="7"/>
    </row>
    <row r="117" spans="1:61">
      <c r="A117" t="s">
        <v>271</v>
      </c>
      <c r="B117" t="s">
        <v>272</v>
      </c>
      <c r="C117" t="s">
        <v>273</v>
      </c>
      <c r="E117" t="s">
        <v>95</v>
      </c>
      <c r="G117" s="31">
        <v>43915</v>
      </c>
      <c r="H117" s="31">
        <v>43914</v>
      </c>
      <c r="I117" s="31">
        <v>43921</v>
      </c>
      <c r="J117" s="12">
        <f t="shared" si="32"/>
        <v>0.11738</v>
      </c>
      <c r="M117" s="12">
        <f t="shared" si="33"/>
        <v>0.11738</v>
      </c>
      <c r="N117" s="12">
        <f>0.11738-Z117</f>
        <v>0.11128618</v>
      </c>
      <c r="Q117" s="12">
        <f t="shared" si="34"/>
        <v>0.11128618</v>
      </c>
      <c r="R117" s="12">
        <f>N117*1</f>
        <v>0.11128618</v>
      </c>
      <c r="U117" s="12">
        <f t="shared" si="35"/>
        <v>0.11128618</v>
      </c>
      <c r="Z117" s="12">
        <v>6.0938199999999998E-3</v>
      </c>
      <c r="AE117" s="30"/>
      <c r="AJ117" s="12">
        <f t="shared" si="36"/>
        <v>0</v>
      </c>
      <c r="AL117" s="1" t="s">
        <v>101</v>
      </c>
      <c r="AM117" s="1" t="s">
        <v>101</v>
      </c>
      <c r="AN117" s="29" t="s">
        <v>98</v>
      </c>
      <c r="AW117" s="12">
        <f t="shared" si="37"/>
        <v>0.11738</v>
      </c>
      <c r="AX117" s="12"/>
      <c r="AY117" s="12"/>
      <c r="AZ117" s="12">
        <f t="shared" si="38"/>
        <v>0.11738</v>
      </c>
      <c r="BA117" s="12">
        <v>0.11738</v>
      </c>
      <c r="BB117" s="7"/>
      <c r="BC117" s="12"/>
      <c r="BD117" s="12">
        <f t="shared" si="39"/>
        <v>0.11738</v>
      </c>
      <c r="BE117" s="12"/>
      <c r="BF117" s="7"/>
      <c r="BG117" s="12"/>
      <c r="BH117" s="12">
        <f t="shared" si="40"/>
        <v>0</v>
      </c>
      <c r="BI117" s="7"/>
    </row>
    <row r="118" spans="1:61">
      <c r="A118" t="s">
        <v>274</v>
      </c>
      <c r="B118" t="s">
        <v>275</v>
      </c>
      <c r="C118" t="s">
        <v>276</v>
      </c>
      <c r="E118" t="s">
        <v>95</v>
      </c>
      <c r="G118" s="31">
        <v>43915</v>
      </c>
      <c r="H118" s="31">
        <v>43914</v>
      </c>
      <c r="I118" s="31">
        <v>43921</v>
      </c>
      <c r="J118" s="12">
        <f t="shared" si="32"/>
        <v>1.763E-2</v>
      </c>
      <c r="M118" s="12">
        <f t="shared" si="33"/>
        <v>1.763E-2</v>
      </c>
      <c r="N118" s="12">
        <f>0.01763-Z118</f>
        <v>0</v>
      </c>
      <c r="Q118" s="12">
        <f t="shared" si="34"/>
        <v>0</v>
      </c>
      <c r="U118" s="12">
        <f t="shared" si="35"/>
        <v>0</v>
      </c>
      <c r="Z118" s="12">
        <v>1.763E-2</v>
      </c>
      <c r="AE118" s="30"/>
      <c r="AJ118" s="12">
        <f t="shared" si="36"/>
        <v>0</v>
      </c>
      <c r="AL118" s="1" t="s">
        <v>101</v>
      </c>
      <c r="AM118" s="1" t="s">
        <v>101</v>
      </c>
      <c r="AN118" s="29" t="s">
        <v>98</v>
      </c>
      <c r="AW118" s="12">
        <f t="shared" si="37"/>
        <v>1.763E-2</v>
      </c>
      <c r="AX118" s="12"/>
      <c r="AY118" s="12"/>
      <c r="AZ118" s="12">
        <f t="shared" si="38"/>
        <v>1.763E-2</v>
      </c>
      <c r="BA118" s="12">
        <v>1.763E-2</v>
      </c>
      <c r="BB118" s="7"/>
      <c r="BC118" s="12"/>
      <c r="BD118" s="12">
        <f t="shared" si="39"/>
        <v>1.763E-2</v>
      </c>
      <c r="BE118" s="12"/>
      <c r="BF118" s="7"/>
      <c r="BG118" s="12"/>
      <c r="BH118" s="12">
        <f t="shared" si="40"/>
        <v>0</v>
      </c>
      <c r="BI118" s="7"/>
    </row>
    <row r="119" spans="1:61">
      <c r="A119" t="s">
        <v>277</v>
      </c>
      <c r="B119" t="s">
        <v>278</v>
      </c>
      <c r="C119" t="s">
        <v>279</v>
      </c>
      <c r="E119" t="s">
        <v>95</v>
      </c>
      <c r="G119" s="31">
        <v>43915</v>
      </c>
      <c r="H119" s="31">
        <v>43914</v>
      </c>
      <c r="I119" s="31">
        <v>43921</v>
      </c>
      <c r="J119" s="12">
        <f t="shared" si="32"/>
        <v>1.9980000000000001E-2</v>
      </c>
      <c r="M119" s="12">
        <f t="shared" si="33"/>
        <v>1.9980000000000001E-2</v>
      </c>
      <c r="N119" s="12">
        <f>0.01998-Z119</f>
        <v>3.1119000000000285E-4</v>
      </c>
      <c r="Q119" s="12">
        <f t="shared" si="34"/>
        <v>3.1119000000000285E-4</v>
      </c>
      <c r="U119" s="12">
        <f t="shared" si="35"/>
        <v>0</v>
      </c>
      <c r="Z119" s="12">
        <v>1.9668809999999998E-2</v>
      </c>
      <c r="AE119" s="30"/>
      <c r="AJ119" s="12">
        <f t="shared" si="36"/>
        <v>0</v>
      </c>
      <c r="AL119" s="1" t="s">
        <v>101</v>
      </c>
      <c r="AM119" s="1" t="s">
        <v>101</v>
      </c>
      <c r="AN119" s="29" t="s">
        <v>98</v>
      </c>
      <c r="AW119" s="12">
        <f t="shared" si="37"/>
        <v>1.9980000000000001E-2</v>
      </c>
      <c r="AX119" s="12"/>
      <c r="AY119" s="12"/>
      <c r="AZ119" s="12">
        <f t="shared" si="38"/>
        <v>1.9980000000000001E-2</v>
      </c>
      <c r="BA119" s="12">
        <v>1.9980000000000001E-2</v>
      </c>
      <c r="BB119" s="7"/>
      <c r="BC119" s="12"/>
      <c r="BD119" s="12">
        <f t="shared" si="39"/>
        <v>1.9980000000000001E-2</v>
      </c>
      <c r="BE119" s="12"/>
      <c r="BF119" s="7"/>
      <c r="BG119" s="12"/>
      <c r="BH119" s="12">
        <f t="shared" si="40"/>
        <v>0</v>
      </c>
      <c r="BI119" s="7"/>
    </row>
    <row r="120" spans="1:61">
      <c r="A120" t="s">
        <v>280</v>
      </c>
      <c r="B120" t="s">
        <v>281</v>
      </c>
      <c r="C120" t="s">
        <v>282</v>
      </c>
      <c r="G120" s="31">
        <v>44006</v>
      </c>
      <c r="H120" s="31">
        <v>44005</v>
      </c>
      <c r="I120" s="31">
        <v>44012</v>
      </c>
      <c r="J120" s="12">
        <f t="shared" si="32"/>
        <v>0.26574999999999999</v>
      </c>
      <c r="M120" s="12">
        <f t="shared" si="33"/>
        <v>0.26574999999999999</v>
      </c>
      <c r="N120" s="12">
        <v>0.26574999999999999</v>
      </c>
      <c r="Q120" s="12">
        <f t="shared" si="34"/>
        <v>0.26574999999999999</v>
      </c>
      <c r="R120" s="12">
        <f>N120*0.1338</f>
        <v>3.5557350000000001E-2</v>
      </c>
      <c r="U120" s="12">
        <f t="shared" si="35"/>
        <v>3.5557350000000001E-2</v>
      </c>
      <c r="AE120" s="30"/>
      <c r="AJ120" s="12">
        <f t="shared" si="36"/>
        <v>0</v>
      </c>
      <c r="AL120" s="1" t="s">
        <v>101</v>
      </c>
      <c r="AM120" s="1" t="s">
        <v>101</v>
      </c>
      <c r="AN120" s="29" t="s">
        <v>98</v>
      </c>
      <c r="AW120" s="12">
        <f t="shared" si="37"/>
        <v>0.26574999999999999</v>
      </c>
      <c r="AX120" s="12"/>
      <c r="AY120" s="12"/>
      <c r="AZ120" s="12">
        <f t="shared" si="38"/>
        <v>0.26574999999999999</v>
      </c>
      <c r="BA120" s="12">
        <v>0.26574999999999999</v>
      </c>
      <c r="BB120" s="7"/>
      <c r="BC120" s="12"/>
      <c r="BD120" s="12">
        <f t="shared" si="39"/>
        <v>0.26574999999999999</v>
      </c>
      <c r="BE120" s="12"/>
      <c r="BF120" s="7"/>
      <c r="BG120" s="12"/>
      <c r="BH120" s="12">
        <f t="shared" si="40"/>
        <v>0</v>
      </c>
      <c r="BI120" s="7"/>
    </row>
    <row r="121" spans="1:61">
      <c r="A121" t="s">
        <v>280</v>
      </c>
      <c r="B121" t="s">
        <v>281</v>
      </c>
      <c r="C121" t="s">
        <v>282</v>
      </c>
      <c r="G121" s="31">
        <v>44176</v>
      </c>
      <c r="H121" s="31">
        <v>44175</v>
      </c>
      <c r="I121" s="31">
        <v>44182</v>
      </c>
      <c r="J121" s="12">
        <f t="shared" ref="J121:J184" si="43">K121+L121+M121</f>
        <v>5.3581700000000003</v>
      </c>
      <c r="M121" s="12">
        <f t="shared" ref="M121:M184" si="44">N121+O121+V121+Z121+AB121+AD121</f>
        <v>5.3581700000000003</v>
      </c>
      <c r="O121" s="7">
        <v>5.3581700000000003</v>
      </c>
      <c r="Q121" s="12">
        <f t="shared" ref="Q121:Q184" si="45">N121+O121+P121</f>
        <v>5.3581700000000003</v>
      </c>
      <c r="S121" s="12">
        <f>O121*0.1338</f>
        <v>0.71692314600000007</v>
      </c>
      <c r="U121" s="12">
        <f t="shared" ref="U121:U184" si="46">R121+S121+T121</f>
        <v>0.71692314600000007</v>
      </c>
      <c r="AE121" s="30"/>
      <c r="AJ121" s="12">
        <f t="shared" ref="AJ121:AJ184" si="47">AG121+AH121+AI121</f>
        <v>0</v>
      </c>
      <c r="AL121" s="1" t="s">
        <v>101</v>
      </c>
      <c r="AM121" s="1" t="s">
        <v>101</v>
      </c>
      <c r="AN121" s="29" t="s">
        <v>98</v>
      </c>
      <c r="AW121" s="12">
        <f t="shared" si="37"/>
        <v>5.3581700000000003</v>
      </c>
      <c r="AX121" s="12"/>
      <c r="AY121" s="12"/>
      <c r="AZ121" s="12">
        <f t="shared" si="38"/>
        <v>5.3581700000000003</v>
      </c>
      <c r="BA121" s="12"/>
      <c r="BB121" s="7">
        <v>5.3581700000000003</v>
      </c>
      <c r="BC121" s="12"/>
      <c r="BD121" s="12">
        <f t="shared" si="39"/>
        <v>5.3581700000000003</v>
      </c>
      <c r="BE121" s="12"/>
      <c r="BF121" s="7"/>
      <c r="BG121" s="12"/>
      <c r="BH121" s="12">
        <f t="shared" si="40"/>
        <v>0</v>
      </c>
      <c r="BI121" s="7"/>
    </row>
    <row r="122" spans="1:61">
      <c r="A122" t="s">
        <v>280</v>
      </c>
      <c r="B122" t="s">
        <v>281</v>
      </c>
      <c r="C122" t="s">
        <v>282</v>
      </c>
      <c r="G122" s="31">
        <v>44188</v>
      </c>
      <c r="H122" s="31">
        <v>44187</v>
      </c>
      <c r="I122" s="31">
        <v>44195</v>
      </c>
      <c r="J122" s="12">
        <f t="shared" si="43"/>
        <v>0.36050000000000004</v>
      </c>
      <c r="M122" s="12">
        <f t="shared" si="44"/>
        <v>0.36050000000000004</v>
      </c>
      <c r="N122" s="12">
        <v>0.36050000000000004</v>
      </c>
      <c r="Q122" s="12">
        <f t="shared" si="45"/>
        <v>0.36050000000000004</v>
      </c>
      <c r="R122" s="12">
        <f>N122*0.1338</f>
        <v>4.8234900000000004E-2</v>
      </c>
      <c r="U122" s="12">
        <f t="shared" si="46"/>
        <v>4.8234900000000004E-2</v>
      </c>
      <c r="AE122" s="30"/>
      <c r="AJ122" s="12">
        <f t="shared" si="47"/>
        <v>0</v>
      </c>
      <c r="AL122" s="1" t="s">
        <v>101</v>
      </c>
      <c r="AM122" s="1" t="s">
        <v>101</v>
      </c>
      <c r="AN122" s="29" t="s">
        <v>98</v>
      </c>
      <c r="AW122" s="12">
        <f t="shared" si="37"/>
        <v>0.36050000000000004</v>
      </c>
      <c r="AX122" s="12"/>
      <c r="AY122" s="12"/>
      <c r="AZ122" s="12">
        <f t="shared" si="38"/>
        <v>0.36050000000000004</v>
      </c>
      <c r="BA122" s="12">
        <v>0.36050000000000004</v>
      </c>
      <c r="BB122" s="7"/>
      <c r="BC122" s="12"/>
      <c r="BD122" s="12">
        <f t="shared" si="39"/>
        <v>0.36050000000000004</v>
      </c>
      <c r="BE122" s="12"/>
      <c r="BF122" s="7"/>
      <c r="BG122" s="12"/>
      <c r="BH122" s="12">
        <f t="shared" si="40"/>
        <v>0</v>
      </c>
      <c r="BI122" s="7"/>
    </row>
    <row r="123" spans="1:61">
      <c r="A123" t="s">
        <v>283</v>
      </c>
      <c r="B123" t="s">
        <v>284</v>
      </c>
      <c r="C123" t="s">
        <v>285</v>
      </c>
      <c r="G123" s="31">
        <v>44006</v>
      </c>
      <c r="H123" s="31">
        <v>44005</v>
      </c>
      <c r="I123" s="31">
        <v>44012</v>
      </c>
      <c r="J123" s="12">
        <f t="shared" si="43"/>
        <v>4.5620000000000001E-2</v>
      </c>
      <c r="M123" s="12">
        <f t="shared" si="44"/>
        <v>4.5620000000000001E-2</v>
      </c>
      <c r="N123" s="12">
        <v>4.5620000000000001E-2</v>
      </c>
      <c r="Q123" s="12">
        <f t="shared" si="45"/>
        <v>4.5620000000000001E-2</v>
      </c>
      <c r="R123" s="12">
        <f>N123*0.6493</f>
        <v>2.9621066000000001E-2</v>
      </c>
      <c r="U123" s="12">
        <f t="shared" si="46"/>
        <v>2.9621066000000001E-2</v>
      </c>
      <c r="AE123" s="30"/>
      <c r="AJ123" s="12">
        <f t="shared" si="47"/>
        <v>0</v>
      </c>
      <c r="AL123" s="1" t="s">
        <v>101</v>
      </c>
      <c r="AM123" s="1" t="s">
        <v>101</v>
      </c>
      <c r="AN123" s="29" t="s">
        <v>98</v>
      </c>
      <c r="AW123" s="12">
        <f t="shared" si="37"/>
        <v>4.5620000000000001E-2</v>
      </c>
      <c r="AX123" s="12"/>
      <c r="AY123" s="12"/>
      <c r="AZ123" s="12">
        <f t="shared" si="38"/>
        <v>4.5620000000000001E-2</v>
      </c>
      <c r="BA123" s="12">
        <v>4.5620000000000001E-2</v>
      </c>
      <c r="BB123" s="7"/>
      <c r="BC123" s="12"/>
      <c r="BD123" s="12">
        <f t="shared" si="39"/>
        <v>4.5620000000000001E-2</v>
      </c>
      <c r="BE123" s="12"/>
      <c r="BF123" s="7"/>
      <c r="BG123" s="12"/>
      <c r="BH123" s="12">
        <f t="shared" si="40"/>
        <v>0</v>
      </c>
      <c r="BI123" s="7"/>
    </row>
    <row r="124" spans="1:61">
      <c r="A124" t="s">
        <v>283</v>
      </c>
      <c r="B124" t="s">
        <v>284</v>
      </c>
      <c r="C124" t="s">
        <v>285</v>
      </c>
      <c r="G124" s="31">
        <v>44188</v>
      </c>
      <c r="H124" s="31">
        <v>44187</v>
      </c>
      <c r="I124" s="31">
        <v>44195</v>
      </c>
      <c r="J124" s="12">
        <f t="shared" si="43"/>
        <v>0.11548</v>
      </c>
      <c r="M124" s="12">
        <f t="shared" si="44"/>
        <v>0.11548</v>
      </c>
      <c r="N124" s="12">
        <v>0.11548</v>
      </c>
      <c r="Q124" s="12">
        <f t="shared" si="45"/>
        <v>0.11548</v>
      </c>
      <c r="R124" s="12">
        <f>N124*0.6493</f>
        <v>7.4981164000000003E-2</v>
      </c>
      <c r="U124" s="12">
        <f t="shared" si="46"/>
        <v>7.4981164000000003E-2</v>
      </c>
      <c r="AE124" s="30"/>
      <c r="AJ124" s="12">
        <f t="shared" si="47"/>
        <v>0</v>
      </c>
      <c r="AL124" s="1" t="s">
        <v>101</v>
      </c>
      <c r="AM124" s="1" t="s">
        <v>101</v>
      </c>
      <c r="AN124" s="29" t="s">
        <v>98</v>
      </c>
      <c r="AW124" s="12">
        <f t="shared" si="37"/>
        <v>0.11548</v>
      </c>
      <c r="AX124" s="12"/>
      <c r="AY124" s="12"/>
      <c r="AZ124" s="12">
        <f t="shared" si="38"/>
        <v>0.11548</v>
      </c>
      <c r="BA124" s="12">
        <v>0.11548</v>
      </c>
      <c r="BB124" s="7"/>
      <c r="BC124" s="12"/>
      <c r="BD124" s="12">
        <f t="shared" si="39"/>
        <v>0.11548</v>
      </c>
      <c r="BE124" s="12"/>
      <c r="BF124" s="7"/>
      <c r="BG124" s="12"/>
      <c r="BH124" s="12">
        <f t="shared" si="40"/>
        <v>0</v>
      </c>
      <c r="BI124" s="7"/>
    </row>
    <row r="125" spans="1:61">
      <c r="A125" t="s">
        <v>286</v>
      </c>
      <c r="B125" t="s">
        <v>287</v>
      </c>
      <c r="C125" t="s">
        <v>288</v>
      </c>
      <c r="E125" t="s">
        <v>108</v>
      </c>
      <c r="G125" s="31">
        <v>43915</v>
      </c>
      <c r="H125" s="31">
        <v>43914</v>
      </c>
      <c r="I125" s="31">
        <v>43921</v>
      </c>
      <c r="J125" s="12">
        <f t="shared" si="43"/>
        <v>1.5350000000000001E-2</v>
      </c>
      <c r="M125" s="12">
        <f t="shared" si="44"/>
        <v>1.5350000000000001E-2</v>
      </c>
      <c r="N125" s="12">
        <f>0.01535-Z125</f>
        <v>1.0500000000000006E-3</v>
      </c>
      <c r="Q125" s="12">
        <f t="shared" si="45"/>
        <v>1.0500000000000006E-3</v>
      </c>
      <c r="U125" s="12">
        <f t="shared" si="46"/>
        <v>0</v>
      </c>
      <c r="Z125" s="12">
        <v>1.43E-2</v>
      </c>
      <c r="AE125" s="30"/>
      <c r="AJ125" s="12">
        <f t="shared" si="47"/>
        <v>0</v>
      </c>
      <c r="AL125" s="1" t="s">
        <v>101</v>
      </c>
      <c r="AM125" s="1" t="s">
        <v>101</v>
      </c>
      <c r="AN125" s="29" t="s">
        <v>98</v>
      </c>
      <c r="AW125" s="12">
        <f t="shared" si="37"/>
        <v>1.5349999999999999E-2</v>
      </c>
      <c r="AX125" s="12"/>
      <c r="AY125" s="12"/>
      <c r="AZ125" s="12">
        <f t="shared" si="38"/>
        <v>1.5349999999999999E-2</v>
      </c>
      <c r="BA125" s="12">
        <v>1.5349999999999999E-2</v>
      </c>
      <c r="BB125" s="7"/>
      <c r="BC125" s="12"/>
      <c r="BD125" s="12">
        <f t="shared" si="39"/>
        <v>1.5349999999999999E-2</v>
      </c>
      <c r="BE125" s="12"/>
      <c r="BF125" s="7"/>
      <c r="BG125" s="12"/>
      <c r="BH125" s="12">
        <f t="shared" si="40"/>
        <v>0</v>
      </c>
      <c r="BI125" s="7"/>
    </row>
    <row r="126" spans="1:61">
      <c r="A126" t="s">
        <v>289</v>
      </c>
      <c r="B126" t="s">
        <v>290</v>
      </c>
      <c r="C126" t="s">
        <v>291</v>
      </c>
      <c r="E126" t="s">
        <v>95</v>
      </c>
      <c r="G126" s="31">
        <v>43915</v>
      </c>
      <c r="H126" s="31">
        <v>43914</v>
      </c>
      <c r="I126" s="31">
        <v>43921</v>
      </c>
      <c r="J126" s="12">
        <f t="shared" si="43"/>
        <v>4.2819999999999997E-2</v>
      </c>
      <c r="M126" s="12">
        <f t="shared" si="44"/>
        <v>4.2819999999999997E-2</v>
      </c>
      <c r="N126" s="12">
        <f>0.04282-Z126</f>
        <v>3.6999999999999533E-4</v>
      </c>
      <c r="Q126" s="12">
        <f t="shared" si="45"/>
        <v>3.6999999999999533E-4</v>
      </c>
      <c r="R126" s="12">
        <f>N126*1</f>
        <v>3.6999999999999533E-4</v>
      </c>
      <c r="U126" s="12">
        <f t="shared" si="46"/>
        <v>3.6999999999999533E-4</v>
      </c>
      <c r="Z126" s="12">
        <v>4.2450000000000002E-2</v>
      </c>
      <c r="AE126" s="30"/>
      <c r="AJ126" s="12">
        <f t="shared" si="47"/>
        <v>0</v>
      </c>
      <c r="AL126" s="1" t="s">
        <v>101</v>
      </c>
      <c r="AM126" s="1" t="s">
        <v>101</v>
      </c>
      <c r="AN126" s="29" t="s">
        <v>98</v>
      </c>
      <c r="AW126" s="12">
        <f t="shared" si="37"/>
        <v>4.2819999999999997E-2</v>
      </c>
      <c r="AX126" s="12"/>
      <c r="AY126" s="12"/>
      <c r="AZ126" s="12">
        <f t="shared" si="38"/>
        <v>4.2819999999999997E-2</v>
      </c>
      <c r="BA126" s="12">
        <v>4.2819999999999997E-2</v>
      </c>
      <c r="BB126" s="7"/>
      <c r="BC126" s="12"/>
      <c r="BD126" s="12">
        <f t="shared" si="39"/>
        <v>4.2819999999999997E-2</v>
      </c>
      <c r="BE126" s="12"/>
      <c r="BF126" s="7"/>
      <c r="BG126" s="12"/>
      <c r="BH126" s="12">
        <f t="shared" si="40"/>
        <v>0</v>
      </c>
      <c r="BI126" s="7"/>
    </row>
    <row r="127" spans="1:61">
      <c r="A127" t="s">
        <v>292</v>
      </c>
      <c r="B127" t="s">
        <v>293</v>
      </c>
      <c r="C127" t="s">
        <v>294</v>
      </c>
      <c r="E127" t="s">
        <v>95</v>
      </c>
      <c r="G127" s="31">
        <v>43915</v>
      </c>
      <c r="H127" s="31">
        <v>43914</v>
      </c>
      <c r="I127" s="31">
        <v>43921</v>
      </c>
      <c r="J127" s="12">
        <f t="shared" si="43"/>
        <v>4.9759999999999999E-2</v>
      </c>
      <c r="M127" s="12">
        <f t="shared" si="44"/>
        <v>4.9759999999999999E-2</v>
      </c>
      <c r="N127" s="12">
        <f>0.04976-Z127</f>
        <v>5.7407999999999765E-4</v>
      </c>
      <c r="Q127" s="12">
        <f t="shared" si="45"/>
        <v>5.7407999999999765E-4</v>
      </c>
      <c r="U127" s="12">
        <f t="shared" si="46"/>
        <v>0</v>
      </c>
      <c r="Z127" s="12">
        <v>4.9185920000000001E-2</v>
      </c>
      <c r="AE127" s="30"/>
      <c r="AJ127" s="12">
        <f t="shared" si="47"/>
        <v>0</v>
      </c>
      <c r="AL127" s="1" t="s">
        <v>101</v>
      </c>
      <c r="AM127" s="1" t="s">
        <v>101</v>
      </c>
      <c r="AN127" s="29" t="s">
        <v>98</v>
      </c>
      <c r="AW127" s="12">
        <f t="shared" si="37"/>
        <v>4.9759999999999992E-2</v>
      </c>
      <c r="AX127" s="12"/>
      <c r="AY127" s="12"/>
      <c r="AZ127" s="12">
        <f t="shared" si="38"/>
        <v>4.9759999999999992E-2</v>
      </c>
      <c r="BA127" s="12">
        <v>4.9759999999999992E-2</v>
      </c>
      <c r="BB127" s="7"/>
      <c r="BC127" s="12"/>
      <c r="BD127" s="12">
        <f t="shared" si="39"/>
        <v>4.9759999999999992E-2</v>
      </c>
      <c r="BE127" s="12"/>
      <c r="BF127" s="7"/>
      <c r="BG127" s="12"/>
      <c r="BH127" s="12">
        <f t="shared" si="40"/>
        <v>0</v>
      </c>
      <c r="BI127" s="7"/>
    </row>
    <row r="128" spans="1:61">
      <c r="A128" t="s">
        <v>295</v>
      </c>
      <c r="B128" t="s">
        <v>296</v>
      </c>
      <c r="C128" t="s">
        <v>297</v>
      </c>
      <c r="G128" s="31">
        <v>44188</v>
      </c>
      <c r="H128" s="31">
        <v>44187</v>
      </c>
      <c r="I128" s="31">
        <v>44195</v>
      </c>
      <c r="J128" s="12">
        <f t="shared" si="43"/>
        <v>2.769999999999999E-3</v>
      </c>
      <c r="M128" s="12">
        <f t="shared" si="44"/>
        <v>2.769999999999999E-3</v>
      </c>
      <c r="N128" s="12">
        <v>2.769999999999999E-3</v>
      </c>
      <c r="Q128" s="12">
        <f t="shared" si="45"/>
        <v>2.769999999999999E-3</v>
      </c>
      <c r="U128" s="12">
        <f t="shared" si="46"/>
        <v>0</v>
      </c>
      <c r="AE128" s="30"/>
      <c r="AJ128" s="12">
        <f t="shared" si="47"/>
        <v>0</v>
      </c>
      <c r="AL128" s="1" t="s">
        <v>101</v>
      </c>
      <c r="AM128" s="1" t="s">
        <v>101</v>
      </c>
      <c r="AN128" s="29" t="s">
        <v>98</v>
      </c>
      <c r="AW128" s="12">
        <f t="shared" si="37"/>
        <v>2.769999999999999E-3</v>
      </c>
      <c r="AX128" s="12"/>
      <c r="AY128" s="12"/>
      <c r="AZ128" s="12">
        <f t="shared" si="38"/>
        <v>2.769999999999999E-3</v>
      </c>
      <c r="BA128" s="12">
        <v>2.769999999999999E-3</v>
      </c>
      <c r="BB128" s="7"/>
      <c r="BC128" s="12"/>
      <c r="BD128" s="12">
        <f t="shared" si="39"/>
        <v>2.769999999999999E-3</v>
      </c>
      <c r="BE128" s="12"/>
      <c r="BF128" s="7"/>
      <c r="BG128" s="12"/>
      <c r="BH128" s="12">
        <f t="shared" si="40"/>
        <v>0</v>
      </c>
      <c r="BI128" s="7"/>
    </row>
    <row r="129" spans="1:61">
      <c r="A129" t="s">
        <v>298</v>
      </c>
      <c r="B129" t="s">
        <v>299</v>
      </c>
      <c r="C129" t="s">
        <v>300</v>
      </c>
      <c r="G129" s="31">
        <v>44006</v>
      </c>
      <c r="H129" s="31">
        <v>44005</v>
      </c>
      <c r="I129" s="31">
        <v>44012</v>
      </c>
      <c r="J129" s="12">
        <f t="shared" si="43"/>
        <v>9.0900000000000026E-3</v>
      </c>
      <c r="M129" s="12">
        <f t="shared" si="44"/>
        <v>9.0900000000000026E-3</v>
      </c>
      <c r="N129" s="12">
        <v>9.0900000000000026E-3</v>
      </c>
      <c r="Q129" s="12">
        <f t="shared" si="45"/>
        <v>9.0900000000000026E-3</v>
      </c>
      <c r="R129" s="12">
        <f>N129*1</f>
        <v>9.0900000000000026E-3</v>
      </c>
      <c r="U129" s="12">
        <f t="shared" si="46"/>
        <v>9.0900000000000026E-3</v>
      </c>
      <c r="AE129" s="30"/>
      <c r="AJ129" s="12">
        <f t="shared" si="47"/>
        <v>0</v>
      </c>
      <c r="AL129" s="1" t="s">
        <v>101</v>
      </c>
      <c r="AM129" s="1" t="s">
        <v>101</v>
      </c>
      <c r="AN129" s="29" t="s">
        <v>98</v>
      </c>
      <c r="AW129" s="12">
        <f t="shared" si="37"/>
        <v>9.0900000000000026E-3</v>
      </c>
      <c r="AX129" s="12"/>
      <c r="AY129" s="12"/>
      <c r="AZ129" s="12">
        <f t="shared" si="38"/>
        <v>9.0900000000000026E-3</v>
      </c>
      <c r="BA129" s="12">
        <v>9.0900000000000026E-3</v>
      </c>
      <c r="BB129" s="7"/>
      <c r="BC129" s="12"/>
      <c r="BD129" s="12">
        <f t="shared" si="39"/>
        <v>9.0900000000000026E-3</v>
      </c>
      <c r="BE129" s="12"/>
      <c r="BF129" s="7"/>
      <c r="BG129" s="12"/>
      <c r="BH129" s="12">
        <f t="shared" si="40"/>
        <v>0</v>
      </c>
      <c r="BI129" s="7"/>
    </row>
    <row r="130" spans="1:61">
      <c r="A130" t="s">
        <v>298</v>
      </c>
      <c r="B130" t="s">
        <v>299</v>
      </c>
      <c r="C130" t="s">
        <v>300</v>
      </c>
      <c r="G130" s="31">
        <v>44097</v>
      </c>
      <c r="H130" s="31">
        <v>44096</v>
      </c>
      <c r="I130" s="31">
        <v>44103</v>
      </c>
      <c r="J130" s="12">
        <f t="shared" si="43"/>
        <v>5.399999999999999E-4</v>
      </c>
      <c r="M130" s="12">
        <f t="shared" si="44"/>
        <v>5.399999999999999E-4</v>
      </c>
      <c r="N130" s="12">
        <v>5.399999999999999E-4</v>
      </c>
      <c r="Q130" s="12">
        <f t="shared" si="45"/>
        <v>5.399999999999999E-4</v>
      </c>
      <c r="R130" s="12">
        <f>N130*1</f>
        <v>5.399999999999999E-4</v>
      </c>
      <c r="U130" s="12">
        <f t="shared" si="46"/>
        <v>5.399999999999999E-4</v>
      </c>
      <c r="AE130" s="30"/>
      <c r="AJ130" s="12">
        <f t="shared" si="47"/>
        <v>0</v>
      </c>
      <c r="AL130" s="1" t="s">
        <v>101</v>
      </c>
      <c r="AM130" s="1" t="s">
        <v>101</v>
      </c>
      <c r="AN130" s="29" t="s">
        <v>98</v>
      </c>
      <c r="AW130" s="12">
        <f t="shared" si="37"/>
        <v>5.399999999999999E-4</v>
      </c>
      <c r="AX130" s="12"/>
      <c r="AY130" s="12"/>
      <c r="AZ130" s="12">
        <f t="shared" si="38"/>
        <v>5.399999999999999E-4</v>
      </c>
      <c r="BA130" s="12">
        <v>5.399999999999999E-4</v>
      </c>
      <c r="BB130" s="7"/>
      <c r="BC130" s="12"/>
      <c r="BD130" s="12">
        <f t="shared" si="39"/>
        <v>5.399999999999999E-4</v>
      </c>
      <c r="BE130" s="12"/>
      <c r="BF130" s="7"/>
      <c r="BG130" s="12"/>
      <c r="BH130" s="12">
        <f t="shared" si="40"/>
        <v>0</v>
      </c>
      <c r="BI130" s="7"/>
    </row>
    <row r="131" spans="1:61">
      <c r="A131" t="s">
        <v>298</v>
      </c>
      <c r="B131" t="s">
        <v>299</v>
      </c>
      <c r="C131" t="s">
        <v>300</v>
      </c>
      <c r="G131" s="31">
        <v>44188</v>
      </c>
      <c r="H131" s="31">
        <v>44187</v>
      </c>
      <c r="I131" s="31">
        <v>44195</v>
      </c>
      <c r="J131" s="12">
        <f t="shared" si="43"/>
        <v>6.5670000000000006E-2</v>
      </c>
      <c r="M131" s="12">
        <f t="shared" si="44"/>
        <v>6.5670000000000006E-2</v>
      </c>
      <c r="N131" s="12">
        <v>6.5670000000000006E-2</v>
      </c>
      <c r="Q131" s="12">
        <f t="shared" si="45"/>
        <v>6.5670000000000006E-2</v>
      </c>
      <c r="R131" s="12">
        <f>N131*1</f>
        <v>6.5670000000000006E-2</v>
      </c>
      <c r="U131" s="12">
        <f t="shared" si="46"/>
        <v>6.5670000000000006E-2</v>
      </c>
      <c r="AE131" s="30"/>
      <c r="AJ131" s="12">
        <f t="shared" si="47"/>
        <v>0</v>
      </c>
      <c r="AL131" s="1" t="s">
        <v>101</v>
      </c>
      <c r="AM131" s="1" t="s">
        <v>101</v>
      </c>
      <c r="AN131" s="29" t="s">
        <v>98</v>
      </c>
      <c r="AW131" s="12">
        <f t="shared" si="37"/>
        <v>6.5670000000000006E-2</v>
      </c>
      <c r="AX131" s="12"/>
      <c r="AY131" s="12"/>
      <c r="AZ131" s="12">
        <f t="shared" si="38"/>
        <v>6.5670000000000006E-2</v>
      </c>
      <c r="BA131" s="12">
        <v>6.5670000000000006E-2</v>
      </c>
      <c r="BB131" s="7"/>
      <c r="BC131" s="12"/>
      <c r="BD131" s="12">
        <f t="shared" si="39"/>
        <v>6.5670000000000006E-2</v>
      </c>
      <c r="BE131" s="12"/>
      <c r="BF131" s="7"/>
      <c r="BG131" s="12"/>
      <c r="BH131" s="12">
        <f t="shared" si="40"/>
        <v>0</v>
      </c>
      <c r="BI131" s="7"/>
    </row>
    <row r="132" spans="1:61">
      <c r="A132" t="s">
        <v>301</v>
      </c>
      <c r="B132" t="s">
        <v>302</v>
      </c>
      <c r="C132" t="s">
        <v>303</v>
      </c>
      <c r="E132" t="s">
        <v>95</v>
      </c>
      <c r="G132" s="31">
        <v>43915</v>
      </c>
      <c r="H132" s="31">
        <v>43914</v>
      </c>
      <c r="I132" s="31">
        <v>43921</v>
      </c>
      <c r="J132" s="12">
        <f t="shared" si="43"/>
        <v>5.3460000000000001E-2</v>
      </c>
      <c r="M132" s="12">
        <f t="shared" si="44"/>
        <v>5.3460000000000001E-2</v>
      </c>
      <c r="N132" s="12">
        <f>0.05346-Z132</f>
        <v>4.9708700000000022E-3</v>
      </c>
      <c r="Q132" s="12">
        <f t="shared" si="45"/>
        <v>4.9708700000000022E-3</v>
      </c>
      <c r="U132" s="12">
        <f t="shared" si="46"/>
        <v>0</v>
      </c>
      <c r="Z132" s="12">
        <v>4.8489129999999998E-2</v>
      </c>
      <c r="AE132" s="30"/>
      <c r="AJ132" s="12">
        <f t="shared" si="47"/>
        <v>0</v>
      </c>
      <c r="AL132" s="1" t="s">
        <v>101</v>
      </c>
      <c r="AM132" s="1" t="s">
        <v>101</v>
      </c>
      <c r="AN132" s="29" t="s">
        <v>98</v>
      </c>
      <c r="AW132" s="12">
        <f t="shared" si="37"/>
        <v>5.3460000000000001E-2</v>
      </c>
      <c r="AX132" s="12"/>
      <c r="AY132" s="12"/>
      <c r="AZ132" s="12">
        <f t="shared" si="38"/>
        <v>5.3460000000000001E-2</v>
      </c>
      <c r="BA132" s="12">
        <v>5.3460000000000001E-2</v>
      </c>
      <c r="BB132" s="7"/>
      <c r="BC132" s="12"/>
      <c r="BD132" s="12">
        <f t="shared" si="39"/>
        <v>5.3460000000000001E-2</v>
      </c>
      <c r="BE132" s="12"/>
      <c r="BF132" s="7"/>
      <c r="BG132" s="12"/>
      <c r="BH132" s="12">
        <f t="shared" si="40"/>
        <v>0</v>
      </c>
      <c r="BI132" s="7"/>
    </row>
    <row r="133" spans="1:61">
      <c r="A133" t="s">
        <v>304</v>
      </c>
      <c r="B133" t="s">
        <v>305</v>
      </c>
      <c r="C133" t="s">
        <v>306</v>
      </c>
      <c r="G133" s="31">
        <v>43915</v>
      </c>
      <c r="H133" s="31">
        <v>43914</v>
      </c>
      <c r="I133" s="31">
        <v>43921</v>
      </c>
      <c r="J133" s="12">
        <f t="shared" si="43"/>
        <v>7.8939999999999982E-2</v>
      </c>
      <c r="M133" s="12">
        <f t="shared" si="44"/>
        <v>7.8939999999999982E-2</v>
      </c>
      <c r="N133" s="12">
        <v>7.8939999999999982E-2</v>
      </c>
      <c r="Q133" s="12">
        <f t="shared" si="45"/>
        <v>7.8939999999999982E-2</v>
      </c>
      <c r="R133" s="12">
        <f>N133*0.1587</f>
        <v>1.2527777999999998E-2</v>
      </c>
      <c r="U133" s="12">
        <f t="shared" si="46"/>
        <v>1.2527777999999998E-2</v>
      </c>
      <c r="AE133" s="30"/>
      <c r="AJ133" s="12">
        <f t="shared" si="47"/>
        <v>0</v>
      </c>
      <c r="AL133" s="1" t="s">
        <v>101</v>
      </c>
      <c r="AM133" s="1" t="s">
        <v>101</v>
      </c>
      <c r="AN133" s="29" t="s">
        <v>98</v>
      </c>
      <c r="AW133" s="12">
        <f t="shared" si="37"/>
        <v>7.8939999999999982E-2</v>
      </c>
      <c r="AX133" s="12"/>
      <c r="AY133" s="12"/>
      <c r="AZ133" s="12">
        <f t="shared" si="38"/>
        <v>7.8939999999999982E-2</v>
      </c>
      <c r="BA133" s="12">
        <v>7.8939999999999982E-2</v>
      </c>
      <c r="BB133" s="7"/>
      <c r="BC133" s="12"/>
      <c r="BD133" s="12">
        <f t="shared" si="39"/>
        <v>7.8939999999999982E-2</v>
      </c>
      <c r="BE133" s="12"/>
      <c r="BF133" s="7"/>
      <c r="BG133" s="12"/>
      <c r="BH133" s="12">
        <f t="shared" si="40"/>
        <v>0</v>
      </c>
      <c r="BI133" s="7"/>
    </row>
    <row r="134" spans="1:61">
      <c r="A134" t="s">
        <v>304</v>
      </c>
      <c r="B134" t="s">
        <v>305</v>
      </c>
      <c r="C134" t="s">
        <v>306</v>
      </c>
      <c r="G134" s="31">
        <v>44006</v>
      </c>
      <c r="H134" s="31">
        <v>44005</v>
      </c>
      <c r="I134" s="31">
        <v>44012</v>
      </c>
      <c r="J134" s="12">
        <f t="shared" si="43"/>
        <v>9.4269999999999993E-2</v>
      </c>
      <c r="M134" s="12">
        <f t="shared" si="44"/>
        <v>9.4269999999999993E-2</v>
      </c>
      <c r="N134" s="12">
        <v>9.4269999999999993E-2</v>
      </c>
      <c r="Q134" s="12">
        <f t="shared" si="45"/>
        <v>9.4269999999999993E-2</v>
      </c>
      <c r="R134" s="12">
        <f>N134*0.1587</f>
        <v>1.4960648999999999E-2</v>
      </c>
      <c r="U134" s="12">
        <f t="shared" si="46"/>
        <v>1.4960648999999999E-2</v>
      </c>
      <c r="AE134" s="30"/>
      <c r="AJ134" s="12">
        <f t="shared" si="47"/>
        <v>0</v>
      </c>
      <c r="AL134" s="1" t="s">
        <v>101</v>
      </c>
      <c r="AM134" s="1" t="s">
        <v>101</v>
      </c>
      <c r="AN134" s="29" t="s">
        <v>98</v>
      </c>
      <c r="AW134" s="12">
        <f t="shared" ref="AW134:AW197" si="48">AX134+AY134+AZ134</f>
        <v>9.4269999999999993E-2</v>
      </c>
      <c r="AX134" s="12"/>
      <c r="AY134" s="12"/>
      <c r="AZ134" s="12">
        <f t="shared" ref="AZ134:AZ197" si="49">BA134+BB134+BI134+BM134+BO134+BQ134</f>
        <v>9.4269999999999993E-2</v>
      </c>
      <c r="BA134" s="12">
        <v>9.4269999999999993E-2</v>
      </c>
      <c r="BB134" s="7"/>
      <c r="BC134" s="12"/>
      <c r="BD134" s="12">
        <f t="shared" ref="BD134:BD197" si="50">BA134+BB134+BC134</f>
        <v>9.4269999999999993E-2</v>
      </c>
      <c r="BE134" s="12"/>
      <c r="BF134" s="7"/>
      <c r="BG134" s="12"/>
      <c r="BH134" s="12">
        <f t="shared" ref="BH134:BH197" si="51">BE134+BF134+BG134</f>
        <v>0</v>
      </c>
      <c r="BI134" s="7"/>
    </row>
    <row r="135" spans="1:61">
      <c r="A135" t="s">
        <v>304</v>
      </c>
      <c r="B135" t="s">
        <v>305</v>
      </c>
      <c r="C135" t="s">
        <v>306</v>
      </c>
      <c r="G135" s="31">
        <v>44188</v>
      </c>
      <c r="H135" s="31">
        <v>44187</v>
      </c>
      <c r="I135" s="31">
        <v>44195</v>
      </c>
      <c r="J135" s="12">
        <f t="shared" si="43"/>
        <v>5.1189999999999999E-2</v>
      </c>
      <c r="M135" s="12">
        <f t="shared" si="44"/>
        <v>5.1189999999999999E-2</v>
      </c>
      <c r="N135" s="12">
        <v>5.1189999999999999E-2</v>
      </c>
      <c r="Q135" s="12">
        <f t="shared" si="45"/>
        <v>5.1189999999999999E-2</v>
      </c>
      <c r="R135" s="12">
        <f>N135*0.1587</f>
        <v>8.1238530000000003E-3</v>
      </c>
      <c r="U135" s="12">
        <f t="shared" si="46"/>
        <v>8.1238530000000003E-3</v>
      </c>
      <c r="AE135" s="30"/>
      <c r="AJ135" s="12">
        <f t="shared" si="47"/>
        <v>0</v>
      </c>
      <c r="AL135" s="1" t="s">
        <v>101</v>
      </c>
      <c r="AM135" s="1" t="s">
        <v>101</v>
      </c>
      <c r="AN135" s="29" t="s">
        <v>98</v>
      </c>
      <c r="AW135" s="12">
        <f t="shared" si="48"/>
        <v>5.1189999999999999E-2</v>
      </c>
      <c r="AX135" s="12"/>
      <c r="AY135" s="12"/>
      <c r="AZ135" s="12">
        <f t="shared" si="49"/>
        <v>5.1189999999999999E-2</v>
      </c>
      <c r="BA135" s="12">
        <v>5.1189999999999999E-2</v>
      </c>
      <c r="BB135" s="7"/>
      <c r="BC135" s="12"/>
      <c r="BD135" s="12">
        <f t="shared" si="50"/>
        <v>5.1189999999999999E-2</v>
      </c>
      <c r="BE135" s="12"/>
      <c r="BF135" s="7"/>
      <c r="BG135" s="12"/>
      <c r="BH135" s="12">
        <f t="shared" si="51"/>
        <v>0</v>
      </c>
      <c r="BI135" s="7"/>
    </row>
    <row r="136" spans="1:61">
      <c r="A136" t="s">
        <v>307</v>
      </c>
      <c r="B136" t="s">
        <v>308</v>
      </c>
      <c r="C136" t="s">
        <v>309</v>
      </c>
      <c r="E136" t="s">
        <v>95</v>
      </c>
      <c r="G136" s="31">
        <v>43915</v>
      </c>
      <c r="H136" s="31">
        <v>43914</v>
      </c>
      <c r="I136" s="31">
        <v>43921</v>
      </c>
      <c r="J136" s="12">
        <f t="shared" si="43"/>
        <v>8.3159999999999998E-2</v>
      </c>
      <c r="M136" s="12">
        <f t="shared" si="44"/>
        <v>8.3159999999999998E-2</v>
      </c>
      <c r="N136" s="12">
        <f>0.08316-Z136</f>
        <v>1.5544299999999955E-3</v>
      </c>
      <c r="Q136" s="12">
        <f t="shared" si="45"/>
        <v>1.5544299999999955E-3</v>
      </c>
      <c r="U136" s="12">
        <f t="shared" si="46"/>
        <v>0</v>
      </c>
      <c r="Z136" s="12">
        <v>8.1605570000000002E-2</v>
      </c>
      <c r="AE136" s="30"/>
      <c r="AJ136" s="12">
        <f t="shared" si="47"/>
        <v>0</v>
      </c>
      <c r="AL136" s="1" t="s">
        <v>101</v>
      </c>
      <c r="AM136" s="1" t="s">
        <v>101</v>
      </c>
      <c r="AN136" s="29" t="s">
        <v>98</v>
      </c>
      <c r="AW136" s="12">
        <f t="shared" si="48"/>
        <v>8.3160000000000012E-2</v>
      </c>
      <c r="AX136" s="12"/>
      <c r="AY136" s="12"/>
      <c r="AZ136" s="12">
        <f t="shared" si="49"/>
        <v>8.3160000000000012E-2</v>
      </c>
      <c r="BA136" s="12">
        <v>8.3160000000000012E-2</v>
      </c>
      <c r="BB136" s="7"/>
      <c r="BC136" s="12"/>
      <c r="BD136" s="12">
        <f t="shared" si="50"/>
        <v>8.3160000000000012E-2</v>
      </c>
      <c r="BE136" s="12"/>
      <c r="BF136" s="7"/>
      <c r="BG136" s="12"/>
      <c r="BH136" s="12">
        <f t="shared" si="51"/>
        <v>0</v>
      </c>
      <c r="BI136" s="7"/>
    </row>
    <row r="137" spans="1:61">
      <c r="A137" t="s">
        <v>310</v>
      </c>
      <c r="B137" t="s">
        <v>311</v>
      </c>
      <c r="C137" t="s">
        <v>312</v>
      </c>
      <c r="E137" t="s">
        <v>95</v>
      </c>
      <c r="G137" s="31">
        <v>44006</v>
      </c>
      <c r="H137" s="31">
        <v>44005</v>
      </c>
      <c r="I137" s="31">
        <v>44012</v>
      </c>
      <c r="J137" s="12">
        <f t="shared" si="43"/>
        <v>1.099E-2</v>
      </c>
      <c r="M137" s="12">
        <f t="shared" si="44"/>
        <v>1.099E-2</v>
      </c>
      <c r="N137" s="12">
        <f>0.01099-Z137</f>
        <v>0</v>
      </c>
      <c r="Q137" s="12">
        <f t="shared" si="45"/>
        <v>0</v>
      </c>
      <c r="R137" s="12">
        <f>N137*1</f>
        <v>0</v>
      </c>
      <c r="U137" s="12">
        <f t="shared" si="46"/>
        <v>0</v>
      </c>
      <c r="Z137" s="12">
        <v>1.099E-2</v>
      </c>
      <c r="AE137" s="30"/>
      <c r="AJ137" s="12">
        <f t="shared" si="47"/>
        <v>0</v>
      </c>
      <c r="AL137" s="1" t="s">
        <v>101</v>
      </c>
      <c r="AM137" s="1" t="s">
        <v>101</v>
      </c>
      <c r="AN137" s="29" t="s">
        <v>98</v>
      </c>
      <c r="AW137" s="12">
        <f t="shared" si="48"/>
        <v>1.099E-2</v>
      </c>
      <c r="AX137" s="12"/>
      <c r="AY137" s="12"/>
      <c r="AZ137" s="12">
        <f t="shared" si="49"/>
        <v>1.099E-2</v>
      </c>
      <c r="BA137" s="12">
        <v>1.099E-2</v>
      </c>
      <c r="BB137" s="7"/>
      <c r="BC137" s="12"/>
      <c r="BD137" s="12">
        <f t="shared" si="50"/>
        <v>1.099E-2</v>
      </c>
      <c r="BE137" s="12"/>
      <c r="BF137" s="7"/>
      <c r="BG137" s="12"/>
      <c r="BH137" s="12">
        <f t="shared" si="51"/>
        <v>0</v>
      </c>
      <c r="BI137" s="7"/>
    </row>
    <row r="138" spans="1:61">
      <c r="A138" t="s">
        <v>310</v>
      </c>
      <c r="B138" t="s">
        <v>311</v>
      </c>
      <c r="C138" t="s">
        <v>312</v>
      </c>
      <c r="G138" s="31">
        <v>44188</v>
      </c>
      <c r="H138" s="31">
        <v>44187</v>
      </c>
      <c r="I138" s="31">
        <v>44195</v>
      </c>
      <c r="J138" s="12">
        <f t="shared" si="43"/>
        <v>1.0330000000000001E-2</v>
      </c>
      <c r="M138" s="12">
        <f t="shared" si="44"/>
        <v>1.0330000000000001E-2</v>
      </c>
      <c r="N138" s="12">
        <v>1.0330000000000001E-2</v>
      </c>
      <c r="Q138" s="12">
        <f t="shared" si="45"/>
        <v>1.0330000000000001E-2</v>
      </c>
      <c r="R138" s="12">
        <f>N138*1</f>
        <v>1.0330000000000001E-2</v>
      </c>
      <c r="U138" s="12">
        <f t="shared" si="46"/>
        <v>1.0330000000000001E-2</v>
      </c>
      <c r="AE138" s="30"/>
      <c r="AJ138" s="12">
        <f t="shared" si="47"/>
        <v>0</v>
      </c>
      <c r="AL138" s="1" t="s">
        <v>101</v>
      </c>
      <c r="AM138" s="1" t="s">
        <v>101</v>
      </c>
      <c r="AN138" s="29" t="s">
        <v>98</v>
      </c>
      <c r="AW138" s="12">
        <f t="shared" si="48"/>
        <v>1.0330000000000001E-2</v>
      </c>
      <c r="AX138" s="12"/>
      <c r="AY138" s="12"/>
      <c r="AZ138" s="12">
        <f t="shared" si="49"/>
        <v>1.0330000000000001E-2</v>
      </c>
      <c r="BA138" s="12">
        <v>1.0330000000000001E-2</v>
      </c>
      <c r="BB138" s="7"/>
      <c r="BC138" s="12"/>
      <c r="BD138" s="12">
        <f t="shared" si="50"/>
        <v>1.0330000000000001E-2</v>
      </c>
      <c r="BE138" s="12"/>
      <c r="BF138" s="7"/>
      <c r="BG138" s="12"/>
      <c r="BH138" s="12">
        <f t="shared" si="51"/>
        <v>0</v>
      </c>
      <c r="BI138" s="7"/>
    </row>
    <row r="139" spans="1:61">
      <c r="A139" t="s">
        <v>313</v>
      </c>
      <c r="B139" t="s">
        <v>314</v>
      </c>
      <c r="C139" t="s">
        <v>315</v>
      </c>
      <c r="G139" s="31">
        <v>44188</v>
      </c>
      <c r="H139" s="31">
        <v>44187</v>
      </c>
      <c r="I139" s="31">
        <v>44195</v>
      </c>
      <c r="J139" s="12">
        <f t="shared" si="43"/>
        <v>3.1199999999999999E-3</v>
      </c>
      <c r="M139" s="12">
        <f>N139+O139+V139+Z139+AB139+AD139</f>
        <v>3.1199999999999999E-3</v>
      </c>
      <c r="N139" s="12">
        <v>3.1199999999999999E-3</v>
      </c>
      <c r="Q139" s="12">
        <f t="shared" si="45"/>
        <v>3.1199999999999999E-3</v>
      </c>
      <c r="R139" s="12">
        <f>N139*1</f>
        <v>3.1199999999999999E-3</v>
      </c>
      <c r="U139" s="12">
        <f t="shared" si="46"/>
        <v>3.1199999999999999E-3</v>
      </c>
      <c r="AE139" s="30"/>
      <c r="AJ139" s="12">
        <f t="shared" si="47"/>
        <v>0</v>
      </c>
      <c r="AL139" s="1" t="s">
        <v>101</v>
      </c>
      <c r="AM139" s="1" t="s">
        <v>101</v>
      </c>
      <c r="AN139" s="29" t="s">
        <v>98</v>
      </c>
      <c r="AW139" s="12">
        <f t="shared" si="48"/>
        <v>3.1199999999999999E-3</v>
      </c>
      <c r="AX139" s="12"/>
      <c r="AY139" s="12"/>
      <c r="AZ139" s="12">
        <f t="shared" si="49"/>
        <v>3.1199999999999999E-3</v>
      </c>
      <c r="BA139" s="12">
        <v>3.1199999999999999E-3</v>
      </c>
      <c r="BB139" s="7"/>
      <c r="BC139" s="12"/>
      <c r="BD139" s="12">
        <f t="shared" si="50"/>
        <v>3.1199999999999999E-3</v>
      </c>
      <c r="BE139" s="12"/>
      <c r="BF139" s="7"/>
      <c r="BG139" s="12"/>
      <c r="BH139" s="12">
        <f t="shared" si="51"/>
        <v>0</v>
      </c>
      <c r="BI139" s="7"/>
    </row>
    <row r="140" spans="1:61">
      <c r="A140" t="s">
        <v>316</v>
      </c>
      <c r="B140" t="s">
        <v>317</v>
      </c>
      <c r="C140" t="s">
        <v>318</v>
      </c>
      <c r="E140" t="s">
        <v>108</v>
      </c>
      <c r="G140" s="31">
        <v>43915</v>
      </c>
      <c r="H140" s="31">
        <v>43914</v>
      </c>
      <c r="I140" s="31">
        <v>43921</v>
      </c>
      <c r="J140" s="12">
        <f t="shared" si="43"/>
        <v>1.304E-2</v>
      </c>
      <c r="M140" s="12">
        <f t="shared" si="44"/>
        <v>1.304E-2</v>
      </c>
      <c r="N140" s="12">
        <f>0.01304-Z140</f>
        <v>1.9290999999999926E-4</v>
      </c>
      <c r="Q140" s="12">
        <f t="shared" si="45"/>
        <v>1.9290999999999926E-4</v>
      </c>
      <c r="U140" s="12">
        <f t="shared" si="46"/>
        <v>0</v>
      </c>
      <c r="Z140" s="12">
        <v>1.284709E-2</v>
      </c>
      <c r="AE140" s="30"/>
      <c r="AJ140" s="12">
        <f t="shared" si="47"/>
        <v>0</v>
      </c>
      <c r="AL140" s="1" t="s">
        <v>101</v>
      </c>
      <c r="AM140" s="1" t="s">
        <v>101</v>
      </c>
      <c r="AN140" s="29" t="s">
        <v>98</v>
      </c>
      <c r="AW140" s="12">
        <f t="shared" si="48"/>
        <v>1.3040000000000001E-2</v>
      </c>
      <c r="AX140" s="12"/>
      <c r="AY140" s="12"/>
      <c r="AZ140" s="12">
        <f t="shared" si="49"/>
        <v>1.3040000000000001E-2</v>
      </c>
      <c r="BA140" s="12">
        <v>1.3040000000000001E-2</v>
      </c>
      <c r="BB140" s="7"/>
      <c r="BC140" s="12"/>
      <c r="BD140" s="12">
        <f t="shared" si="50"/>
        <v>1.3040000000000001E-2</v>
      </c>
      <c r="BE140" s="12"/>
      <c r="BF140" s="7"/>
      <c r="BG140" s="12"/>
      <c r="BH140" s="12">
        <f t="shared" si="51"/>
        <v>0</v>
      </c>
      <c r="BI140" s="7"/>
    </row>
    <row r="141" spans="1:61">
      <c r="A141" t="s">
        <v>319</v>
      </c>
      <c r="B141" t="s">
        <v>320</v>
      </c>
      <c r="C141" t="s">
        <v>321</v>
      </c>
      <c r="G141" s="31">
        <v>43915</v>
      </c>
      <c r="H141" s="31">
        <v>43914</v>
      </c>
      <c r="I141" s="31">
        <v>43921</v>
      </c>
      <c r="J141" s="12">
        <f t="shared" si="43"/>
        <v>0.19450000000000001</v>
      </c>
      <c r="M141" s="12">
        <f t="shared" si="44"/>
        <v>0.19450000000000001</v>
      </c>
      <c r="N141" s="12">
        <v>0.19450000000000001</v>
      </c>
      <c r="Q141" s="12">
        <f t="shared" si="45"/>
        <v>0.19450000000000001</v>
      </c>
      <c r="R141" s="12">
        <f>N141*0.0207</f>
        <v>4.02615E-3</v>
      </c>
      <c r="U141" s="12">
        <f t="shared" si="46"/>
        <v>4.02615E-3</v>
      </c>
      <c r="AE141" s="30"/>
      <c r="AJ141" s="12">
        <f t="shared" si="47"/>
        <v>0</v>
      </c>
      <c r="AL141" s="1" t="s">
        <v>101</v>
      </c>
      <c r="AM141" s="1" t="s">
        <v>101</v>
      </c>
      <c r="AN141" s="29" t="s">
        <v>98</v>
      </c>
      <c r="AW141" s="12">
        <f t="shared" si="48"/>
        <v>0.19450000000000001</v>
      </c>
      <c r="AX141" s="12"/>
      <c r="AY141" s="12"/>
      <c r="AZ141" s="12">
        <f t="shared" si="49"/>
        <v>0.19450000000000001</v>
      </c>
      <c r="BA141" s="12">
        <v>0.19450000000000001</v>
      </c>
      <c r="BB141" s="7"/>
      <c r="BC141" s="12"/>
      <c r="BD141" s="12">
        <f t="shared" si="50"/>
        <v>0.19450000000000001</v>
      </c>
      <c r="BE141" s="12"/>
      <c r="BF141" s="7"/>
      <c r="BG141" s="12"/>
      <c r="BH141" s="12">
        <f t="shared" si="51"/>
        <v>0</v>
      </c>
      <c r="BI141" s="7"/>
    </row>
    <row r="142" spans="1:61">
      <c r="A142" t="s">
        <v>319</v>
      </c>
      <c r="B142" t="s">
        <v>320</v>
      </c>
      <c r="C142" t="s">
        <v>321</v>
      </c>
      <c r="G142" s="31">
        <v>44176</v>
      </c>
      <c r="H142" s="31">
        <v>44175</v>
      </c>
      <c r="I142" s="31">
        <v>44182</v>
      </c>
      <c r="J142" s="12">
        <f t="shared" si="43"/>
        <v>1.8996999999999999</v>
      </c>
      <c r="M142" s="12">
        <f t="shared" si="44"/>
        <v>1.8996999999999999</v>
      </c>
      <c r="O142" s="7">
        <v>1.8996999999999999</v>
      </c>
      <c r="Q142" s="12">
        <f t="shared" si="45"/>
        <v>1.8996999999999999</v>
      </c>
      <c r="S142" s="7">
        <f>O142*0.0207</f>
        <v>3.9323789999999997E-2</v>
      </c>
      <c r="U142" s="12">
        <f t="shared" si="46"/>
        <v>3.9323789999999997E-2</v>
      </c>
      <c r="AE142" s="30"/>
      <c r="AJ142" s="12">
        <f t="shared" si="47"/>
        <v>0</v>
      </c>
      <c r="AL142" s="1" t="s">
        <v>101</v>
      </c>
      <c r="AM142" s="1" t="s">
        <v>101</v>
      </c>
      <c r="AN142" s="29" t="s">
        <v>98</v>
      </c>
      <c r="AW142" s="12">
        <f t="shared" si="48"/>
        <v>1.8996999999999999</v>
      </c>
      <c r="AX142" s="12"/>
      <c r="AY142" s="12"/>
      <c r="AZ142" s="12">
        <f t="shared" si="49"/>
        <v>1.8996999999999999</v>
      </c>
      <c r="BA142" s="12"/>
      <c r="BB142" s="7">
        <v>1.8996999999999999</v>
      </c>
      <c r="BC142" s="12"/>
      <c r="BD142" s="12">
        <f t="shared" si="50"/>
        <v>1.8996999999999999</v>
      </c>
      <c r="BE142" s="12"/>
      <c r="BF142" s="7"/>
      <c r="BG142" s="12"/>
      <c r="BH142" s="12">
        <f t="shared" si="51"/>
        <v>0</v>
      </c>
      <c r="BI142" s="7"/>
    </row>
    <row r="143" spans="1:61">
      <c r="A143" t="s">
        <v>322</v>
      </c>
      <c r="B143" t="s">
        <v>323</v>
      </c>
      <c r="C143" t="s">
        <v>324</v>
      </c>
      <c r="G143" s="31">
        <v>43915</v>
      </c>
      <c r="H143" s="31">
        <v>43914</v>
      </c>
      <c r="I143" s="31">
        <v>43921</v>
      </c>
      <c r="J143" s="12">
        <f t="shared" si="43"/>
        <v>1.3509999999999999E-2</v>
      </c>
      <c r="M143" s="12">
        <f t="shared" si="44"/>
        <v>1.3509999999999999E-2</v>
      </c>
      <c r="N143" s="12">
        <v>1.3509999999999999E-2</v>
      </c>
      <c r="Q143" s="12">
        <f t="shared" si="45"/>
        <v>1.3509999999999999E-2</v>
      </c>
      <c r="R143" s="12">
        <f>N143*0.528</f>
        <v>7.1332799999999997E-3</v>
      </c>
      <c r="U143" s="12">
        <f t="shared" si="46"/>
        <v>7.1332799999999997E-3</v>
      </c>
      <c r="AE143" s="30"/>
      <c r="AJ143" s="12">
        <f t="shared" si="47"/>
        <v>0</v>
      </c>
      <c r="AL143" s="1" t="s">
        <v>101</v>
      </c>
      <c r="AM143" s="1" t="s">
        <v>101</v>
      </c>
      <c r="AN143" s="29" t="s">
        <v>98</v>
      </c>
      <c r="AW143" s="12">
        <f t="shared" si="48"/>
        <v>1.3509999999999999E-2</v>
      </c>
      <c r="AX143" s="12"/>
      <c r="AY143" s="12"/>
      <c r="AZ143" s="12">
        <f t="shared" si="49"/>
        <v>1.3509999999999999E-2</v>
      </c>
      <c r="BA143" s="12">
        <v>1.3509999999999999E-2</v>
      </c>
      <c r="BB143" s="7"/>
      <c r="BC143" s="12"/>
      <c r="BD143" s="12">
        <f t="shared" si="50"/>
        <v>1.3509999999999999E-2</v>
      </c>
      <c r="BE143" s="12"/>
      <c r="BF143" s="7"/>
      <c r="BG143" s="12"/>
      <c r="BH143" s="12">
        <f t="shared" si="51"/>
        <v>0</v>
      </c>
      <c r="BI143" s="7"/>
    </row>
    <row r="144" spans="1:61">
      <c r="A144" t="s">
        <v>322</v>
      </c>
      <c r="B144" t="s">
        <v>323</v>
      </c>
      <c r="C144" t="s">
        <v>324</v>
      </c>
      <c r="G144" s="31">
        <v>44006</v>
      </c>
      <c r="H144" s="31">
        <v>44005</v>
      </c>
      <c r="I144" s="31">
        <v>44012</v>
      </c>
      <c r="J144" s="12">
        <f t="shared" si="43"/>
        <v>3.3500000000000001E-3</v>
      </c>
      <c r="M144" s="12">
        <f t="shared" si="44"/>
        <v>3.3500000000000001E-3</v>
      </c>
      <c r="N144" s="12">
        <v>3.3500000000000001E-3</v>
      </c>
      <c r="Q144" s="12">
        <f t="shared" si="45"/>
        <v>3.3500000000000001E-3</v>
      </c>
      <c r="R144" s="12">
        <f>N144*0.528</f>
        <v>1.7688000000000001E-3</v>
      </c>
      <c r="U144" s="12">
        <f t="shared" si="46"/>
        <v>1.7688000000000001E-3</v>
      </c>
      <c r="AE144" s="30"/>
      <c r="AJ144" s="12">
        <f t="shared" si="47"/>
        <v>0</v>
      </c>
      <c r="AL144" s="1" t="s">
        <v>101</v>
      </c>
      <c r="AM144" s="1" t="s">
        <v>101</v>
      </c>
      <c r="AN144" s="29" t="s">
        <v>98</v>
      </c>
      <c r="AW144" s="12">
        <f t="shared" si="48"/>
        <v>3.3500000000000001E-3</v>
      </c>
      <c r="AX144" s="12"/>
      <c r="AY144" s="12"/>
      <c r="AZ144" s="12">
        <f t="shared" si="49"/>
        <v>3.3500000000000001E-3</v>
      </c>
      <c r="BA144" s="12">
        <v>3.3500000000000001E-3</v>
      </c>
      <c r="BB144" s="7"/>
      <c r="BC144" s="12"/>
      <c r="BD144" s="12">
        <f t="shared" si="50"/>
        <v>3.3500000000000001E-3</v>
      </c>
      <c r="BE144" s="12"/>
      <c r="BF144" s="7"/>
      <c r="BG144" s="12"/>
      <c r="BH144" s="12">
        <f t="shared" si="51"/>
        <v>0</v>
      </c>
      <c r="BI144" s="7"/>
    </row>
    <row r="145" spans="1:61">
      <c r="A145" t="s">
        <v>322</v>
      </c>
      <c r="B145" t="s">
        <v>323</v>
      </c>
      <c r="C145" t="s">
        <v>324</v>
      </c>
      <c r="G145" s="31">
        <v>44188</v>
      </c>
      <c r="H145" s="31">
        <v>44187</v>
      </c>
      <c r="I145" s="31">
        <v>44195</v>
      </c>
      <c r="J145" s="12">
        <f t="shared" si="43"/>
        <v>8.9800000000000001E-3</v>
      </c>
      <c r="M145" s="12">
        <f t="shared" si="44"/>
        <v>8.9800000000000001E-3</v>
      </c>
      <c r="N145" s="12">
        <v>8.9800000000000001E-3</v>
      </c>
      <c r="Q145" s="12">
        <f t="shared" si="45"/>
        <v>8.9800000000000001E-3</v>
      </c>
      <c r="R145" s="12">
        <f>N145*0.528</f>
        <v>4.7414400000000004E-3</v>
      </c>
      <c r="U145" s="12">
        <f t="shared" si="46"/>
        <v>4.7414400000000004E-3</v>
      </c>
      <c r="AE145" s="30"/>
      <c r="AJ145" s="12">
        <f t="shared" si="47"/>
        <v>0</v>
      </c>
      <c r="AL145" s="1" t="s">
        <v>101</v>
      </c>
      <c r="AM145" s="1" t="s">
        <v>101</v>
      </c>
      <c r="AN145" s="29" t="s">
        <v>98</v>
      </c>
      <c r="AW145" s="12">
        <f t="shared" si="48"/>
        <v>8.9800000000000001E-3</v>
      </c>
      <c r="AX145" s="12"/>
      <c r="AY145" s="12"/>
      <c r="AZ145" s="12">
        <f t="shared" si="49"/>
        <v>8.9800000000000001E-3</v>
      </c>
      <c r="BA145" s="12">
        <v>8.9800000000000001E-3</v>
      </c>
      <c r="BB145" s="7"/>
      <c r="BC145" s="12"/>
      <c r="BD145" s="12">
        <f t="shared" si="50"/>
        <v>8.9800000000000001E-3</v>
      </c>
      <c r="BE145" s="12"/>
      <c r="BF145" s="7"/>
      <c r="BG145" s="12"/>
      <c r="BH145" s="12">
        <f t="shared" si="51"/>
        <v>0</v>
      </c>
      <c r="BI145" s="7"/>
    </row>
    <row r="146" spans="1:61">
      <c r="A146" t="s">
        <v>325</v>
      </c>
      <c r="B146" t="s">
        <v>326</v>
      </c>
      <c r="C146" t="s">
        <v>327</v>
      </c>
      <c r="G146" s="31">
        <v>43915</v>
      </c>
      <c r="H146" s="31">
        <v>43914</v>
      </c>
      <c r="I146" s="31">
        <v>43921</v>
      </c>
      <c r="J146" s="12">
        <f t="shared" si="43"/>
        <v>0.14731</v>
      </c>
      <c r="M146" s="12">
        <f t="shared" si="44"/>
        <v>0.14731</v>
      </c>
      <c r="N146" s="12">
        <v>0.14731</v>
      </c>
      <c r="Q146" s="12">
        <f t="shared" si="45"/>
        <v>0.14731</v>
      </c>
      <c r="R146" s="12">
        <f t="shared" ref="R146:R151" si="52">N146*1</f>
        <v>0.14731</v>
      </c>
      <c r="U146" s="12">
        <f t="shared" si="46"/>
        <v>0.14731</v>
      </c>
      <c r="AE146" s="30"/>
      <c r="AJ146" s="12">
        <f t="shared" si="47"/>
        <v>0</v>
      </c>
      <c r="AL146" s="1" t="s">
        <v>101</v>
      </c>
      <c r="AM146" s="1" t="s">
        <v>101</v>
      </c>
      <c r="AN146" s="29" t="s">
        <v>98</v>
      </c>
      <c r="AW146" s="12">
        <f t="shared" si="48"/>
        <v>0.14731</v>
      </c>
      <c r="AX146" s="12"/>
      <c r="AY146" s="12"/>
      <c r="AZ146" s="12">
        <f t="shared" si="49"/>
        <v>0.14731</v>
      </c>
      <c r="BA146" s="12">
        <v>0.14731</v>
      </c>
      <c r="BB146" s="7"/>
      <c r="BC146" s="12"/>
      <c r="BD146" s="12">
        <f t="shared" si="50"/>
        <v>0.14731</v>
      </c>
      <c r="BE146" s="12"/>
      <c r="BF146" s="7"/>
      <c r="BG146" s="12"/>
      <c r="BH146" s="12">
        <f t="shared" si="51"/>
        <v>0</v>
      </c>
      <c r="BI146" s="7"/>
    </row>
    <row r="147" spans="1:61">
      <c r="A147" t="s">
        <v>325</v>
      </c>
      <c r="B147" t="s">
        <v>326</v>
      </c>
      <c r="C147" t="s">
        <v>327</v>
      </c>
      <c r="G147" s="31">
        <v>44006</v>
      </c>
      <c r="H147" s="31">
        <v>44005</v>
      </c>
      <c r="I147" s="31">
        <v>44012</v>
      </c>
      <c r="J147" s="12">
        <f t="shared" si="43"/>
        <v>6.4699999999999994E-2</v>
      </c>
      <c r="M147" s="12">
        <f t="shared" si="44"/>
        <v>6.4699999999999994E-2</v>
      </c>
      <c r="N147" s="12">
        <v>6.4699999999999994E-2</v>
      </c>
      <c r="Q147" s="12">
        <f t="shared" si="45"/>
        <v>6.4699999999999994E-2</v>
      </c>
      <c r="R147" s="12">
        <f t="shared" si="52"/>
        <v>6.4699999999999994E-2</v>
      </c>
      <c r="U147" s="12">
        <f t="shared" si="46"/>
        <v>6.4699999999999994E-2</v>
      </c>
      <c r="AE147" s="30"/>
      <c r="AJ147" s="12">
        <f t="shared" si="47"/>
        <v>0</v>
      </c>
      <c r="AL147" s="1" t="s">
        <v>101</v>
      </c>
      <c r="AM147" s="1" t="s">
        <v>101</v>
      </c>
      <c r="AN147" s="29" t="s">
        <v>98</v>
      </c>
      <c r="AW147" s="12">
        <f t="shared" si="48"/>
        <v>6.4699999999999994E-2</v>
      </c>
      <c r="AX147" s="12"/>
      <c r="AY147" s="12"/>
      <c r="AZ147" s="12">
        <f t="shared" si="49"/>
        <v>6.4699999999999994E-2</v>
      </c>
      <c r="BA147" s="12">
        <v>6.4699999999999994E-2</v>
      </c>
      <c r="BB147" s="7"/>
      <c r="BC147" s="12"/>
      <c r="BD147" s="12">
        <f t="shared" si="50"/>
        <v>6.4699999999999994E-2</v>
      </c>
      <c r="BE147" s="12"/>
      <c r="BF147" s="7"/>
      <c r="BG147" s="12"/>
      <c r="BH147" s="12">
        <f t="shared" si="51"/>
        <v>0</v>
      </c>
      <c r="BI147" s="7"/>
    </row>
    <row r="148" spans="1:61">
      <c r="A148" t="s">
        <v>325</v>
      </c>
      <c r="B148" t="s">
        <v>326</v>
      </c>
      <c r="C148" t="s">
        <v>327</v>
      </c>
      <c r="G148" s="31">
        <v>44097</v>
      </c>
      <c r="H148" s="31">
        <v>44096</v>
      </c>
      <c r="I148" s="31">
        <v>44103</v>
      </c>
      <c r="J148" s="12">
        <f t="shared" si="43"/>
        <v>7.2360000000000008E-2</v>
      </c>
      <c r="M148" s="12">
        <f t="shared" si="44"/>
        <v>7.2360000000000008E-2</v>
      </c>
      <c r="N148" s="12">
        <v>7.2360000000000008E-2</v>
      </c>
      <c r="Q148" s="12">
        <f t="shared" si="45"/>
        <v>7.2360000000000008E-2</v>
      </c>
      <c r="R148" s="12">
        <f t="shared" si="52"/>
        <v>7.2360000000000008E-2</v>
      </c>
      <c r="U148" s="12">
        <f t="shared" si="46"/>
        <v>7.2360000000000008E-2</v>
      </c>
      <c r="AE148" s="30"/>
      <c r="AJ148" s="12">
        <f t="shared" si="47"/>
        <v>0</v>
      </c>
      <c r="AL148" s="1" t="s">
        <v>101</v>
      </c>
      <c r="AM148" s="1" t="s">
        <v>101</v>
      </c>
      <c r="AN148" s="29" t="s">
        <v>98</v>
      </c>
      <c r="AW148" s="12">
        <f t="shared" si="48"/>
        <v>7.2360000000000008E-2</v>
      </c>
      <c r="AX148" s="12"/>
      <c r="AY148" s="12"/>
      <c r="AZ148" s="12">
        <f t="shared" si="49"/>
        <v>7.2360000000000008E-2</v>
      </c>
      <c r="BA148" s="12">
        <v>7.2360000000000008E-2</v>
      </c>
      <c r="BB148" s="7"/>
      <c r="BC148" s="12"/>
      <c r="BD148" s="12">
        <f t="shared" si="50"/>
        <v>7.2360000000000008E-2</v>
      </c>
      <c r="BE148" s="12"/>
      <c r="BF148" s="7"/>
      <c r="BG148" s="12"/>
      <c r="BH148" s="12">
        <f t="shared" si="51"/>
        <v>0</v>
      </c>
      <c r="BI148" s="7"/>
    </row>
    <row r="149" spans="1:61">
      <c r="A149" t="s">
        <v>325</v>
      </c>
      <c r="B149" t="s">
        <v>326</v>
      </c>
      <c r="C149" t="s">
        <v>327</v>
      </c>
      <c r="G149" s="31">
        <v>44188</v>
      </c>
      <c r="H149" s="31">
        <v>44187</v>
      </c>
      <c r="I149" s="31">
        <v>44195</v>
      </c>
      <c r="J149" s="12">
        <f t="shared" si="43"/>
        <v>9.8490000000000022E-2</v>
      </c>
      <c r="M149" s="12">
        <f t="shared" si="44"/>
        <v>9.8490000000000022E-2</v>
      </c>
      <c r="N149" s="12">
        <v>9.8490000000000022E-2</v>
      </c>
      <c r="Q149" s="12">
        <f t="shared" si="45"/>
        <v>9.8490000000000022E-2</v>
      </c>
      <c r="R149" s="12">
        <f t="shared" si="52"/>
        <v>9.8490000000000022E-2</v>
      </c>
      <c r="U149" s="12">
        <f t="shared" si="46"/>
        <v>9.8490000000000022E-2</v>
      </c>
      <c r="AE149" s="30"/>
      <c r="AJ149" s="12">
        <f t="shared" si="47"/>
        <v>0</v>
      </c>
      <c r="AL149" s="1" t="s">
        <v>101</v>
      </c>
      <c r="AM149" s="1" t="s">
        <v>101</v>
      </c>
      <c r="AN149" s="29" t="s">
        <v>98</v>
      </c>
      <c r="AW149" s="12">
        <f t="shared" si="48"/>
        <v>9.8490000000000022E-2</v>
      </c>
      <c r="AX149" s="12"/>
      <c r="AY149" s="12"/>
      <c r="AZ149" s="12">
        <f t="shared" si="49"/>
        <v>9.8490000000000022E-2</v>
      </c>
      <c r="BA149" s="12">
        <v>9.8490000000000022E-2</v>
      </c>
      <c r="BB149" s="7"/>
      <c r="BC149" s="12"/>
      <c r="BD149" s="12">
        <f t="shared" si="50"/>
        <v>9.8490000000000022E-2</v>
      </c>
      <c r="BE149" s="12"/>
      <c r="BF149" s="7"/>
      <c r="BG149" s="12"/>
      <c r="BH149" s="12">
        <f t="shared" si="51"/>
        <v>0</v>
      </c>
      <c r="BI149" s="7"/>
    </row>
    <row r="150" spans="1:61">
      <c r="A150" t="s">
        <v>328</v>
      </c>
      <c r="B150" t="s">
        <v>329</v>
      </c>
      <c r="C150" t="s">
        <v>330</v>
      </c>
      <c r="G150" s="31">
        <v>44006</v>
      </c>
      <c r="H150" s="31">
        <v>44005</v>
      </c>
      <c r="I150" s="31">
        <v>44012</v>
      </c>
      <c r="J150" s="12">
        <f t="shared" si="43"/>
        <v>0.17097000000000004</v>
      </c>
      <c r="M150" s="12">
        <f t="shared" si="44"/>
        <v>0.17097000000000004</v>
      </c>
      <c r="N150" s="12">
        <v>0.17097000000000004</v>
      </c>
      <c r="Q150" s="12">
        <f t="shared" si="45"/>
        <v>0.17097000000000004</v>
      </c>
      <c r="R150" s="12">
        <f t="shared" si="52"/>
        <v>0.17097000000000004</v>
      </c>
      <c r="U150" s="12">
        <f t="shared" si="46"/>
        <v>0.17097000000000004</v>
      </c>
      <c r="AE150" s="30"/>
      <c r="AJ150" s="12">
        <f t="shared" si="47"/>
        <v>0</v>
      </c>
      <c r="AL150" s="1" t="s">
        <v>101</v>
      </c>
      <c r="AM150" s="1" t="s">
        <v>101</v>
      </c>
      <c r="AN150" s="29" t="s">
        <v>98</v>
      </c>
      <c r="AW150" s="12">
        <f t="shared" si="48"/>
        <v>0.17097000000000004</v>
      </c>
      <c r="AX150" s="12"/>
      <c r="AY150" s="12"/>
      <c r="AZ150" s="12">
        <f t="shared" si="49"/>
        <v>0.17097000000000004</v>
      </c>
      <c r="BA150" s="12">
        <v>0.17097000000000004</v>
      </c>
      <c r="BB150" s="7"/>
      <c r="BC150" s="12"/>
      <c r="BD150" s="12">
        <f t="shared" si="50"/>
        <v>0.17097000000000004</v>
      </c>
      <c r="BE150" s="12"/>
      <c r="BF150" s="7"/>
      <c r="BG150" s="12"/>
      <c r="BH150" s="12">
        <f t="shared" si="51"/>
        <v>0</v>
      </c>
      <c r="BI150" s="7"/>
    </row>
    <row r="151" spans="1:61">
      <c r="A151" t="s">
        <v>328</v>
      </c>
      <c r="B151" t="s">
        <v>329</v>
      </c>
      <c r="C151" t="s">
        <v>330</v>
      </c>
      <c r="G151" s="31">
        <v>44188</v>
      </c>
      <c r="H151" s="31">
        <v>44187</v>
      </c>
      <c r="I151" s="31">
        <v>44195</v>
      </c>
      <c r="J151" s="12">
        <f t="shared" si="43"/>
        <v>0.26696999999999999</v>
      </c>
      <c r="M151" s="12">
        <f t="shared" si="44"/>
        <v>0.26696999999999999</v>
      </c>
      <c r="N151" s="12">
        <v>0.26696999999999999</v>
      </c>
      <c r="Q151" s="12">
        <f t="shared" si="45"/>
        <v>0.26696999999999999</v>
      </c>
      <c r="R151" s="12">
        <f t="shared" si="52"/>
        <v>0.26696999999999999</v>
      </c>
      <c r="U151" s="12">
        <f t="shared" si="46"/>
        <v>0.26696999999999999</v>
      </c>
      <c r="AE151" s="30"/>
      <c r="AJ151" s="12">
        <f t="shared" si="47"/>
        <v>0</v>
      </c>
      <c r="AL151" s="1" t="s">
        <v>101</v>
      </c>
      <c r="AM151" s="1" t="s">
        <v>101</v>
      </c>
      <c r="AN151" s="29" t="s">
        <v>98</v>
      </c>
      <c r="AW151" s="12">
        <f t="shared" si="48"/>
        <v>0.26696999999999999</v>
      </c>
      <c r="AX151" s="12"/>
      <c r="AY151" s="12"/>
      <c r="AZ151" s="12">
        <f t="shared" si="49"/>
        <v>0.26696999999999999</v>
      </c>
      <c r="BA151" s="12">
        <v>0.26696999999999999</v>
      </c>
      <c r="BB151" s="7"/>
      <c r="BC151" s="12"/>
      <c r="BD151" s="12">
        <f t="shared" si="50"/>
        <v>0.26696999999999999</v>
      </c>
      <c r="BE151" s="12"/>
      <c r="BF151" s="7"/>
      <c r="BG151" s="12"/>
      <c r="BH151" s="12">
        <f t="shared" si="51"/>
        <v>0</v>
      </c>
      <c r="BI151" s="7"/>
    </row>
    <row r="152" spans="1:61">
      <c r="A152" t="s">
        <v>331</v>
      </c>
      <c r="B152" t="s">
        <v>332</v>
      </c>
      <c r="C152" t="s">
        <v>333</v>
      </c>
      <c r="G152" s="31">
        <v>44097</v>
      </c>
      <c r="H152" s="31">
        <v>44096</v>
      </c>
      <c r="I152" s="31">
        <v>44103</v>
      </c>
      <c r="J152" s="12">
        <f t="shared" si="43"/>
        <v>3.969000000000001E-2</v>
      </c>
      <c r="M152" s="12">
        <f t="shared" si="44"/>
        <v>3.969000000000001E-2</v>
      </c>
      <c r="N152" s="12">
        <v>3.969000000000001E-2</v>
      </c>
      <c r="Q152" s="12">
        <f t="shared" si="45"/>
        <v>3.969000000000001E-2</v>
      </c>
      <c r="R152" s="12">
        <f>N152*0.0781</f>
        <v>3.0997890000000008E-3</v>
      </c>
      <c r="U152" s="12">
        <f t="shared" si="46"/>
        <v>3.0997890000000008E-3</v>
      </c>
      <c r="AE152" s="30"/>
      <c r="AJ152" s="12">
        <f t="shared" si="47"/>
        <v>0</v>
      </c>
      <c r="AL152" s="1" t="s">
        <v>101</v>
      </c>
      <c r="AM152" s="1" t="s">
        <v>101</v>
      </c>
      <c r="AN152" s="29" t="s">
        <v>98</v>
      </c>
      <c r="AW152" s="12">
        <f t="shared" si="48"/>
        <v>3.969000000000001E-2</v>
      </c>
      <c r="AX152" s="12"/>
      <c r="AY152" s="12"/>
      <c r="AZ152" s="12">
        <f t="shared" si="49"/>
        <v>3.969000000000001E-2</v>
      </c>
      <c r="BA152" s="12">
        <v>3.969000000000001E-2</v>
      </c>
      <c r="BB152" s="7"/>
      <c r="BC152" s="12"/>
      <c r="BD152" s="12">
        <f t="shared" si="50"/>
        <v>3.969000000000001E-2</v>
      </c>
      <c r="BE152" s="12"/>
      <c r="BF152" s="7"/>
      <c r="BG152" s="12"/>
      <c r="BH152" s="12">
        <f t="shared" si="51"/>
        <v>0</v>
      </c>
      <c r="BI152" s="7"/>
    </row>
    <row r="153" spans="1:61">
      <c r="A153" t="s">
        <v>331</v>
      </c>
      <c r="B153" t="s">
        <v>332</v>
      </c>
      <c r="C153" t="s">
        <v>333</v>
      </c>
      <c r="G153" s="31">
        <v>44176</v>
      </c>
      <c r="H153" s="31">
        <v>44175</v>
      </c>
      <c r="I153" s="31">
        <v>44182</v>
      </c>
      <c r="J153" s="12">
        <f t="shared" si="43"/>
        <v>3.7173199999999995</v>
      </c>
      <c r="M153" s="12">
        <f t="shared" si="44"/>
        <v>3.7173199999999995</v>
      </c>
      <c r="O153" s="7">
        <v>3.7173199999999995</v>
      </c>
      <c r="Q153" s="12">
        <f t="shared" si="45"/>
        <v>3.7173199999999995</v>
      </c>
      <c r="S153" s="12">
        <f>O153*0.0781</f>
        <v>0.29032269199999999</v>
      </c>
      <c r="U153" s="12">
        <f t="shared" si="46"/>
        <v>0.29032269199999999</v>
      </c>
      <c r="AE153" s="30"/>
      <c r="AJ153" s="12">
        <f t="shared" si="47"/>
        <v>0</v>
      </c>
      <c r="AL153" s="1" t="s">
        <v>101</v>
      </c>
      <c r="AM153" s="1" t="s">
        <v>101</v>
      </c>
      <c r="AN153" s="29" t="s">
        <v>98</v>
      </c>
      <c r="AW153" s="12">
        <f t="shared" si="48"/>
        <v>3.7173199999999995</v>
      </c>
      <c r="AX153" s="12"/>
      <c r="AY153" s="12"/>
      <c r="AZ153" s="12">
        <f t="shared" si="49"/>
        <v>3.7173199999999995</v>
      </c>
      <c r="BA153" s="12"/>
      <c r="BB153" s="7">
        <v>3.7173199999999995</v>
      </c>
      <c r="BC153" s="12"/>
      <c r="BD153" s="12">
        <f t="shared" si="50"/>
        <v>3.7173199999999995</v>
      </c>
      <c r="BE153" s="12"/>
      <c r="BF153" s="7"/>
      <c r="BG153" s="12"/>
      <c r="BH153" s="12">
        <f t="shared" si="51"/>
        <v>0</v>
      </c>
      <c r="BI153" s="7"/>
    </row>
    <row r="154" spans="1:61">
      <c r="A154" t="s">
        <v>331</v>
      </c>
      <c r="B154" t="s">
        <v>332</v>
      </c>
      <c r="C154" t="s">
        <v>333</v>
      </c>
      <c r="G154" s="31">
        <v>44188</v>
      </c>
      <c r="H154" s="31">
        <v>44187</v>
      </c>
      <c r="I154" s="31">
        <v>44195</v>
      </c>
      <c r="J154" s="12">
        <f t="shared" si="43"/>
        <v>0.17408000000000001</v>
      </c>
      <c r="M154" s="12">
        <f t="shared" si="44"/>
        <v>0.17408000000000001</v>
      </c>
      <c r="N154" s="12">
        <v>0.17408000000000001</v>
      </c>
      <c r="Q154" s="12">
        <f t="shared" si="45"/>
        <v>0.17408000000000001</v>
      </c>
      <c r="R154" s="12">
        <f>N154*0.0781</f>
        <v>1.3595648000000002E-2</v>
      </c>
      <c r="U154" s="12">
        <f t="shared" si="46"/>
        <v>1.3595648000000002E-2</v>
      </c>
      <c r="AE154" s="30"/>
      <c r="AJ154" s="12">
        <f t="shared" si="47"/>
        <v>0</v>
      </c>
      <c r="AL154" s="1" t="s">
        <v>101</v>
      </c>
      <c r="AM154" s="1" t="s">
        <v>101</v>
      </c>
      <c r="AN154" s="29" t="s">
        <v>98</v>
      </c>
      <c r="AW154" s="12">
        <f t="shared" si="48"/>
        <v>0.17408000000000001</v>
      </c>
      <c r="AX154" s="12"/>
      <c r="AY154" s="12"/>
      <c r="AZ154" s="12">
        <f t="shared" si="49"/>
        <v>0.17408000000000001</v>
      </c>
      <c r="BA154" s="12">
        <v>0.17408000000000001</v>
      </c>
      <c r="BB154" s="7"/>
      <c r="BC154" s="12"/>
      <c r="BD154" s="12">
        <f t="shared" si="50"/>
        <v>0.17408000000000001</v>
      </c>
      <c r="BE154" s="12"/>
      <c r="BF154" s="7"/>
      <c r="BG154" s="12"/>
      <c r="BH154" s="12">
        <f t="shared" si="51"/>
        <v>0</v>
      </c>
      <c r="BI154" s="7"/>
    </row>
    <row r="155" spans="1:61">
      <c r="A155" t="s">
        <v>334</v>
      </c>
      <c r="B155" t="s">
        <v>335</v>
      </c>
      <c r="C155" t="s">
        <v>336</v>
      </c>
      <c r="G155" s="31">
        <v>43915</v>
      </c>
      <c r="H155" s="31">
        <v>43914</v>
      </c>
      <c r="I155" s="31">
        <v>43921</v>
      </c>
      <c r="J155" s="12">
        <f t="shared" si="43"/>
        <v>0.12086999999999999</v>
      </c>
      <c r="M155" s="12">
        <f t="shared" si="44"/>
        <v>0.12086999999999999</v>
      </c>
      <c r="N155" s="12">
        <v>0.12086999999999999</v>
      </c>
      <c r="Q155" s="12">
        <f t="shared" si="45"/>
        <v>0.12086999999999999</v>
      </c>
      <c r="R155" s="12">
        <f>N155*0.4651</f>
        <v>5.6216637E-2</v>
      </c>
      <c r="U155" s="12">
        <f t="shared" si="46"/>
        <v>5.6216637E-2</v>
      </c>
      <c r="AE155" s="30"/>
      <c r="AJ155" s="12">
        <f t="shared" si="47"/>
        <v>0</v>
      </c>
      <c r="AL155" s="1" t="s">
        <v>101</v>
      </c>
      <c r="AM155" s="1" t="s">
        <v>101</v>
      </c>
      <c r="AN155" s="29" t="s">
        <v>98</v>
      </c>
      <c r="AW155" s="12">
        <f t="shared" si="48"/>
        <v>0.12086999999999999</v>
      </c>
      <c r="AX155" s="12"/>
      <c r="AY155" s="12"/>
      <c r="AZ155" s="12">
        <f t="shared" si="49"/>
        <v>0.12086999999999999</v>
      </c>
      <c r="BA155" s="12">
        <v>0.12086999999999999</v>
      </c>
      <c r="BB155" s="7"/>
      <c r="BC155" s="12"/>
      <c r="BD155" s="12">
        <f t="shared" si="50"/>
        <v>0.12086999999999999</v>
      </c>
      <c r="BE155" s="12"/>
      <c r="BF155" s="7"/>
      <c r="BG155" s="12"/>
      <c r="BH155" s="12">
        <f t="shared" si="51"/>
        <v>0</v>
      </c>
      <c r="BI155" s="7"/>
    </row>
    <row r="156" spans="1:61">
      <c r="A156" t="s">
        <v>334</v>
      </c>
      <c r="B156" t="s">
        <v>335</v>
      </c>
      <c r="C156" t="s">
        <v>336</v>
      </c>
      <c r="G156" s="31">
        <v>44006</v>
      </c>
      <c r="H156" s="31">
        <v>44005</v>
      </c>
      <c r="I156" s="31">
        <v>44012</v>
      </c>
      <c r="J156" s="12">
        <f t="shared" si="43"/>
        <v>0.18382000000000001</v>
      </c>
      <c r="M156" s="12">
        <f t="shared" si="44"/>
        <v>0.18382000000000001</v>
      </c>
      <c r="N156" s="12">
        <v>0.18382000000000001</v>
      </c>
      <c r="Q156" s="12">
        <f t="shared" si="45"/>
        <v>0.18382000000000001</v>
      </c>
      <c r="R156" s="12">
        <f>N156*0.4651</f>
        <v>8.5494682000000002E-2</v>
      </c>
      <c r="U156" s="12">
        <f t="shared" si="46"/>
        <v>8.5494682000000002E-2</v>
      </c>
      <c r="AE156" s="30"/>
      <c r="AJ156" s="12">
        <f t="shared" si="47"/>
        <v>0</v>
      </c>
      <c r="AL156" s="1" t="s">
        <v>101</v>
      </c>
      <c r="AM156" s="1" t="s">
        <v>101</v>
      </c>
      <c r="AN156" s="29" t="s">
        <v>98</v>
      </c>
      <c r="AW156" s="12">
        <f t="shared" si="48"/>
        <v>0.18382000000000001</v>
      </c>
      <c r="AX156" s="12"/>
      <c r="AY156" s="12"/>
      <c r="AZ156" s="12">
        <f t="shared" si="49"/>
        <v>0.18382000000000001</v>
      </c>
      <c r="BA156" s="12">
        <v>0.18382000000000001</v>
      </c>
      <c r="BB156" s="7"/>
      <c r="BC156" s="12"/>
      <c r="BD156" s="12">
        <f t="shared" si="50"/>
        <v>0.18382000000000001</v>
      </c>
      <c r="BE156" s="12"/>
      <c r="BF156" s="7"/>
      <c r="BG156" s="12"/>
      <c r="BH156" s="12">
        <f t="shared" si="51"/>
        <v>0</v>
      </c>
      <c r="BI156" s="7"/>
    </row>
    <row r="157" spans="1:61">
      <c r="A157" t="s">
        <v>334</v>
      </c>
      <c r="B157" t="s">
        <v>335</v>
      </c>
      <c r="C157" t="s">
        <v>336</v>
      </c>
      <c r="G157" s="31">
        <v>44097</v>
      </c>
      <c r="H157" s="31">
        <v>44096</v>
      </c>
      <c r="I157" s="31">
        <v>44103</v>
      </c>
      <c r="J157" s="12">
        <f t="shared" si="43"/>
        <v>0.17428999999999997</v>
      </c>
      <c r="M157" s="12">
        <f t="shared" si="44"/>
        <v>0.17428999999999997</v>
      </c>
      <c r="N157" s="12">
        <v>0.17428999999999997</v>
      </c>
      <c r="Q157" s="12">
        <f t="shared" si="45"/>
        <v>0.17428999999999997</v>
      </c>
      <c r="R157" s="12">
        <f>N157*0.4651</f>
        <v>8.1062278999999987E-2</v>
      </c>
      <c r="U157" s="12">
        <f t="shared" si="46"/>
        <v>8.1062278999999987E-2</v>
      </c>
      <c r="AE157" s="30"/>
      <c r="AJ157" s="12">
        <f t="shared" si="47"/>
        <v>0</v>
      </c>
      <c r="AL157" s="1" t="s">
        <v>101</v>
      </c>
      <c r="AM157" s="1" t="s">
        <v>101</v>
      </c>
      <c r="AN157" s="29" t="s">
        <v>98</v>
      </c>
      <c r="AW157" s="12">
        <f t="shared" si="48"/>
        <v>0.17428999999999997</v>
      </c>
      <c r="AX157" s="12"/>
      <c r="AY157" s="12"/>
      <c r="AZ157" s="12">
        <f t="shared" si="49"/>
        <v>0.17428999999999997</v>
      </c>
      <c r="BA157" s="12">
        <v>0.17428999999999997</v>
      </c>
      <c r="BB157" s="7"/>
      <c r="BC157" s="12"/>
      <c r="BD157" s="12">
        <f t="shared" si="50"/>
        <v>0.17428999999999997</v>
      </c>
      <c r="BE157" s="12"/>
      <c r="BF157" s="7"/>
      <c r="BG157" s="12"/>
      <c r="BH157" s="12">
        <f t="shared" si="51"/>
        <v>0</v>
      </c>
      <c r="BI157" s="7"/>
    </row>
    <row r="158" spans="1:61">
      <c r="A158" t="s">
        <v>334</v>
      </c>
      <c r="B158" t="s">
        <v>335</v>
      </c>
      <c r="C158" t="s">
        <v>336</v>
      </c>
      <c r="G158" s="31">
        <v>44188</v>
      </c>
      <c r="H158" s="31">
        <v>44187</v>
      </c>
      <c r="I158" s="31">
        <v>44195</v>
      </c>
      <c r="J158" s="12">
        <f t="shared" si="43"/>
        <v>1.23245</v>
      </c>
      <c r="M158" s="12">
        <f t="shared" si="44"/>
        <v>1.23245</v>
      </c>
      <c r="N158" s="12">
        <v>1.23245</v>
      </c>
      <c r="Q158" s="12">
        <f t="shared" si="45"/>
        <v>1.23245</v>
      </c>
      <c r="R158" s="12">
        <f>N158*0.4651</f>
        <v>0.57321249500000004</v>
      </c>
      <c r="U158" s="12">
        <f t="shared" si="46"/>
        <v>0.57321249500000004</v>
      </c>
      <c r="AE158" s="30"/>
      <c r="AJ158" s="12">
        <f t="shared" si="47"/>
        <v>0</v>
      </c>
      <c r="AL158" s="1" t="s">
        <v>101</v>
      </c>
      <c r="AM158" s="1" t="s">
        <v>101</v>
      </c>
      <c r="AN158" s="29" t="s">
        <v>98</v>
      </c>
      <c r="AW158" s="12">
        <f t="shared" si="48"/>
        <v>1.23245</v>
      </c>
      <c r="AX158" s="12"/>
      <c r="AY158" s="12"/>
      <c r="AZ158" s="12">
        <f t="shared" si="49"/>
        <v>1.23245</v>
      </c>
      <c r="BA158" s="12">
        <v>1.23245</v>
      </c>
      <c r="BB158" s="7"/>
      <c r="BC158" s="12"/>
      <c r="BD158" s="12">
        <f t="shared" si="50"/>
        <v>1.23245</v>
      </c>
      <c r="BE158" s="12"/>
      <c r="BF158" s="7"/>
      <c r="BG158" s="12"/>
      <c r="BH158" s="12">
        <f t="shared" si="51"/>
        <v>0</v>
      </c>
      <c r="BI158" s="7"/>
    </row>
    <row r="159" spans="1:61">
      <c r="A159" t="s">
        <v>337</v>
      </c>
      <c r="B159" t="s">
        <v>338</v>
      </c>
      <c r="C159" t="s">
        <v>339</v>
      </c>
      <c r="G159" s="31">
        <v>44006</v>
      </c>
      <c r="H159" s="31">
        <v>44005</v>
      </c>
      <c r="I159" s="31">
        <v>44012</v>
      </c>
      <c r="J159" s="12">
        <f t="shared" si="43"/>
        <v>8.5800000000000008E-3</v>
      </c>
      <c r="M159" s="12">
        <f t="shared" si="44"/>
        <v>8.5800000000000008E-3</v>
      </c>
      <c r="N159" s="12">
        <v>8.5800000000000008E-3</v>
      </c>
      <c r="Q159" s="12">
        <f t="shared" si="45"/>
        <v>8.5800000000000008E-3</v>
      </c>
      <c r="R159" s="12">
        <f>N159*1</f>
        <v>8.5800000000000008E-3</v>
      </c>
      <c r="U159" s="12">
        <f t="shared" si="46"/>
        <v>8.5800000000000008E-3</v>
      </c>
      <c r="AE159" s="30"/>
      <c r="AJ159" s="12">
        <f t="shared" si="47"/>
        <v>0</v>
      </c>
      <c r="AL159" s="1" t="s">
        <v>101</v>
      </c>
      <c r="AM159" s="1" t="s">
        <v>101</v>
      </c>
      <c r="AN159" s="29" t="s">
        <v>98</v>
      </c>
      <c r="AW159" s="12">
        <f t="shared" si="48"/>
        <v>8.5800000000000008E-3</v>
      </c>
      <c r="AX159" s="12"/>
      <c r="AY159" s="12"/>
      <c r="AZ159" s="12">
        <f t="shared" si="49"/>
        <v>8.5800000000000008E-3</v>
      </c>
      <c r="BA159" s="12">
        <v>8.5800000000000008E-3</v>
      </c>
      <c r="BB159" s="7"/>
      <c r="BC159" s="12"/>
      <c r="BD159" s="12">
        <f t="shared" si="50"/>
        <v>8.5800000000000008E-3</v>
      </c>
      <c r="BE159" s="12"/>
      <c r="BF159" s="7"/>
      <c r="BG159" s="12"/>
      <c r="BH159" s="12">
        <f t="shared" si="51"/>
        <v>0</v>
      </c>
      <c r="BI159" s="7"/>
    </row>
    <row r="160" spans="1:61">
      <c r="A160" t="s">
        <v>337</v>
      </c>
      <c r="B160" t="s">
        <v>338</v>
      </c>
      <c r="C160" t="s">
        <v>339</v>
      </c>
      <c r="G160" s="31">
        <v>44097</v>
      </c>
      <c r="H160" s="31">
        <v>44096</v>
      </c>
      <c r="I160" s="31">
        <v>44103</v>
      </c>
      <c r="J160" s="12">
        <f t="shared" si="43"/>
        <v>3.5340000000000003E-2</v>
      </c>
      <c r="M160" s="12">
        <f t="shared" si="44"/>
        <v>3.5340000000000003E-2</v>
      </c>
      <c r="N160" s="12">
        <v>3.5340000000000003E-2</v>
      </c>
      <c r="Q160" s="12">
        <f t="shared" si="45"/>
        <v>3.5340000000000003E-2</v>
      </c>
      <c r="R160" s="12">
        <f>N160*1</f>
        <v>3.5340000000000003E-2</v>
      </c>
      <c r="U160" s="12">
        <f t="shared" si="46"/>
        <v>3.5340000000000003E-2</v>
      </c>
      <c r="AE160" s="30"/>
      <c r="AJ160" s="12">
        <f t="shared" si="47"/>
        <v>0</v>
      </c>
      <c r="AL160" s="1" t="s">
        <v>101</v>
      </c>
      <c r="AM160" s="1" t="s">
        <v>101</v>
      </c>
      <c r="AN160" s="29" t="s">
        <v>98</v>
      </c>
      <c r="AW160" s="12">
        <f t="shared" si="48"/>
        <v>3.5340000000000003E-2</v>
      </c>
      <c r="AX160" s="12"/>
      <c r="AY160" s="12"/>
      <c r="AZ160" s="12">
        <f t="shared" si="49"/>
        <v>3.5340000000000003E-2</v>
      </c>
      <c r="BA160" s="12">
        <v>3.5340000000000003E-2</v>
      </c>
      <c r="BB160" s="7"/>
      <c r="BC160" s="12"/>
      <c r="BD160" s="12">
        <f t="shared" si="50"/>
        <v>3.5340000000000003E-2</v>
      </c>
      <c r="BE160" s="12"/>
      <c r="BF160" s="7"/>
      <c r="BG160" s="12"/>
      <c r="BH160" s="12">
        <f t="shared" si="51"/>
        <v>0</v>
      </c>
      <c r="BI160" s="7"/>
    </row>
    <row r="161" spans="1:61">
      <c r="A161" t="s">
        <v>337</v>
      </c>
      <c r="B161" t="s">
        <v>338</v>
      </c>
      <c r="C161" t="s">
        <v>339</v>
      </c>
      <c r="G161" s="31">
        <v>44188</v>
      </c>
      <c r="H161" s="31">
        <v>44187</v>
      </c>
      <c r="I161" s="31">
        <v>44195</v>
      </c>
      <c r="J161" s="12">
        <f t="shared" si="43"/>
        <v>4.8059999999999999E-2</v>
      </c>
      <c r="M161" s="12">
        <f t="shared" si="44"/>
        <v>4.8059999999999999E-2</v>
      </c>
      <c r="N161" s="12">
        <v>4.8059999999999999E-2</v>
      </c>
      <c r="Q161" s="12">
        <f t="shared" si="45"/>
        <v>4.8059999999999999E-2</v>
      </c>
      <c r="R161" s="12">
        <f>N161*1</f>
        <v>4.8059999999999999E-2</v>
      </c>
      <c r="U161" s="12">
        <f t="shared" si="46"/>
        <v>4.8059999999999999E-2</v>
      </c>
      <c r="AE161" s="30"/>
      <c r="AJ161" s="12">
        <f t="shared" si="47"/>
        <v>0</v>
      </c>
      <c r="AL161" s="1" t="s">
        <v>101</v>
      </c>
      <c r="AM161" s="1" t="s">
        <v>101</v>
      </c>
      <c r="AN161" s="29" t="s">
        <v>98</v>
      </c>
      <c r="AW161" s="12">
        <f t="shared" si="48"/>
        <v>4.8059999999999999E-2</v>
      </c>
      <c r="AX161" s="12"/>
      <c r="AY161" s="12"/>
      <c r="AZ161" s="12">
        <f t="shared" si="49"/>
        <v>4.8059999999999999E-2</v>
      </c>
      <c r="BA161" s="12">
        <v>4.8059999999999999E-2</v>
      </c>
      <c r="BB161" s="7"/>
      <c r="BC161" s="12"/>
      <c r="BD161" s="12">
        <f t="shared" si="50"/>
        <v>4.8059999999999999E-2</v>
      </c>
      <c r="BE161" s="12"/>
      <c r="BF161" s="7"/>
      <c r="BG161" s="12"/>
      <c r="BH161" s="12">
        <f t="shared" si="51"/>
        <v>0</v>
      </c>
      <c r="BI161" s="7"/>
    </row>
    <row r="162" spans="1:61">
      <c r="A162" t="s">
        <v>340</v>
      </c>
      <c r="B162" t="s">
        <v>341</v>
      </c>
      <c r="C162" t="s">
        <v>342</v>
      </c>
      <c r="G162" s="31">
        <v>44196</v>
      </c>
      <c r="H162" s="31">
        <v>44200</v>
      </c>
      <c r="I162" s="31">
        <v>44200</v>
      </c>
      <c r="J162" s="12">
        <f t="shared" si="43"/>
        <v>0.65242189999999989</v>
      </c>
      <c r="M162" s="12">
        <f t="shared" si="44"/>
        <v>0.65242189999999989</v>
      </c>
      <c r="N162" s="12">
        <v>0.65242189999999989</v>
      </c>
      <c r="Q162" s="12">
        <f t="shared" si="45"/>
        <v>0.65242189999999989</v>
      </c>
      <c r="U162" s="12">
        <f t="shared" si="46"/>
        <v>0</v>
      </c>
      <c r="AE162" s="30"/>
      <c r="AJ162" s="12">
        <f t="shared" si="47"/>
        <v>0</v>
      </c>
      <c r="AL162" s="1" t="s">
        <v>99</v>
      </c>
      <c r="AM162" s="1" t="s">
        <v>96</v>
      </c>
      <c r="AN162" s="29" t="s">
        <v>97</v>
      </c>
      <c r="AW162" s="12">
        <f t="shared" si="48"/>
        <v>0.65242189999999989</v>
      </c>
      <c r="AX162" s="12"/>
      <c r="AY162" s="12"/>
      <c r="AZ162" s="12">
        <f t="shared" si="49"/>
        <v>0.65242189999999989</v>
      </c>
      <c r="BA162" s="12">
        <v>0.65242189999999989</v>
      </c>
      <c r="BB162" s="7"/>
      <c r="BC162" s="12"/>
      <c r="BD162" s="12">
        <f t="shared" si="50"/>
        <v>0.65242189999999989</v>
      </c>
      <c r="BE162" s="12"/>
      <c r="BF162" s="7"/>
      <c r="BG162" s="12"/>
      <c r="BH162" s="12">
        <f t="shared" si="51"/>
        <v>0</v>
      </c>
      <c r="BI162" s="7"/>
    </row>
    <row r="163" spans="1:61">
      <c r="A163" t="s">
        <v>343</v>
      </c>
      <c r="B163" t="s">
        <v>344</v>
      </c>
      <c r="C163" t="s">
        <v>345</v>
      </c>
      <c r="G163" s="31">
        <v>44175</v>
      </c>
      <c r="H163" s="31">
        <v>44176</v>
      </c>
      <c r="I163" s="31">
        <v>44176</v>
      </c>
      <c r="J163" s="12">
        <f t="shared" si="43"/>
        <v>1.2760599999999998</v>
      </c>
      <c r="M163" s="12">
        <f t="shared" si="44"/>
        <v>1.2760599999999998</v>
      </c>
      <c r="O163" s="7">
        <v>1.2760599999999998</v>
      </c>
      <c r="Q163" s="12">
        <f t="shared" si="45"/>
        <v>1.2760599999999998</v>
      </c>
      <c r="U163" s="12">
        <f t="shared" si="46"/>
        <v>0</v>
      </c>
      <c r="AE163" s="30"/>
      <c r="AJ163" s="12">
        <f t="shared" si="47"/>
        <v>0</v>
      </c>
      <c r="AL163" s="1" t="s">
        <v>99</v>
      </c>
      <c r="AM163" s="1" t="s">
        <v>96</v>
      </c>
      <c r="AN163" s="29" t="s">
        <v>97</v>
      </c>
      <c r="AW163" s="12">
        <f t="shared" si="48"/>
        <v>1.2760599999999998</v>
      </c>
      <c r="AX163" s="12"/>
      <c r="AY163" s="12"/>
      <c r="AZ163" s="12">
        <f t="shared" si="49"/>
        <v>1.2760599999999998</v>
      </c>
      <c r="BA163" s="12"/>
      <c r="BB163" s="7">
        <v>1.2760599999999998</v>
      </c>
      <c r="BC163" s="12"/>
      <c r="BD163" s="12">
        <f t="shared" si="50"/>
        <v>1.2760599999999998</v>
      </c>
      <c r="BE163" s="12"/>
      <c r="BF163" s="7"/>
      <c r="BG163" s="12"/>
      <c r="BH163" s="12">
        <f t="shared" si="51"/>
        <v>0</v>
      </c>
      <c r="BI163" s="7"/>
    </row>
    <row r="164" spans="1:61">
      <c r="A164" t="s">
        <v>346</v>
      </c>
      <c r="B164" t="s">
        <v>347</v>
      </c>
      <c r="C164" t="s">
        <v>348</v>
      </c>
      <c r="G164" s="31">
        <v>43879</v>
      </c>
      <c r="H164" s="31">
        <v>43880</v>
      </c>
      <c r="I164" s="31">
        <v>43880</v>
      </c>
      <c r="J164" s="12">
        <f t="shared" si="43"/>
        <v>1.2764069999999999E-2</v>
      </c>
      <c r="M164" s="12">
        <f t="shared" si="44"/>
        <v>1.2764069999999999E-2</v>
      </c>
      <c r="N164" s="12">
        <v>1.2764069999999999E-2</v>
      </c>
      <c r="Q164" s="12">
        <f t="shared" si="45"/>
        <v>1.2764069999999999E-2</v>
      </c>
      <c r="U164" s="12">
        <f t="shared" si="46"/>
        <v>0</v>
      </c>
      <c r="AE164" s="30"/>
      <c r="AJ164" s="12">
        <f t="shared" si="47"/>
        <v>0</v>
      </c>
      <c r="AL164" s="1" t="s">
        <v>99</v>
      </c>
      <c r="AM164" s="1" t="s">
        <v>96</v>
      </c>
      <c r="AN164" s="29" t="s">
        <v>97</v>
      </c>
      <c r="AW164" s="12">
        <f t="shared" si="48"/>
        <v>1.2764069999999999E-2</v>
      </c>
      <c r="AX164" s="12"/>
      <c r="AY164" s="12"/>
      <c r="AZ164" s="12">
        <f t="shared" si="49"/>
        <v>1.2764069999999999E-2</v>
      </c>
      <c r="BA164" s="12">
        <v>1.2764069999999999E-2</v>
      </c>
      <c r="BB164" s="7"/>
      <c r="BC164" s="12"/>
      <c r="BD164" s="12">
        <f t="shared" si="50"/>
        <v>1.2764069999999999E-2</v>
      </c>
      <c r="BE164" s="12"/>
      <c r="BF164" s="7"/>
      <c r="BG164" s="12"/>
      <c r="BH164" s="12">
        <f t="shared" si="51"/>
        <v>0</v>
      </c>
      <c r="BI164" s="7"/>
    </row>
    <row r="165" spans="1:61">
      <c r="A165" t="s">
        <v>346</v>
      </c>
      <c r="B165" t="s">
        <v>347</v>
      </c>
      <c r="C165" t="s">
        <v>348</v>
      </c>
      <c r="G165" s="31">
        <v>43906</v>
      </c>
      <c r="H165" s="31">
        <v>43907</v>
      </c>
      <c r="I165" s="31">
        <v>43907</v>
      </c>
      <c r="J165" s="12">
        <f t="shared" si="43"/>
        <v>0.74333225000000014</v>
      </c>
      <c r="M165" s="12">
        <f t="shared" si="44"/>
        <v>0.74333225000000014</v>
      </c>
      <c r="N165" s="12">
        <v>0.74333225000000014</v>
      </c>
      <c r="Q165" s="12">
        <f t="shared" si="45"/>
        <v>0.74333225000000014</v>
      </c>
      <c r="U165" s="12">
        <f t="shared" si="46"/>
        <v>0</v>
      </c>
      <c r="AE165" s="30"/>
      <c r="AJ165" s="12">
        <f t="shared" si="47"/>
        <v>0</v>
      </c>
      <c r="AL165" s="1" t="s">
        <v>99</v>
      </c>
      <c r="AM165" s="1" t="s">
        <v>96</v>
      </c>
      <c r="AN165" s="29" t="s">
        <v>97</v>
      </c>
      <c r="AW165" s="12">
        <f t="shared" si="48"/>
        <v>0.74333225000000014</v>
      </c>
      <c r="AX165" s="12"/>
      <c r="AY165" s="12"/>
      <c r="AZ165" s="12">
        <f t="shared" si="49"/>
        <v>0.74333225000000014</v>
      </c>
      <c r="BA165" s="12">
        <v>0.74333225000000014</v>
      </c>
      <c r="BB165" s="7"/>
      <c r="BC165" s="12"/>
      <c r="BD165" s="12">
        <f t="shared" si="50"/>
        <v>0.74333225000000014</v>
      </c>
      <c r="BE165" s="12"/>
      <c r="BF165" s="7"/>
      <c r="BG165" s="12"/>
      <c r="BH165" s="12">
        <f t="shared" si="51"/>
        <v>0</v>
      </c>
      <c r="BI165" s="7"/>
    </row>
    <row r="166" spans="1:61">
      <c r="A166" t="s">
        <v>346</v>
      </c>
      <c r="B166" t="s">
        <v>347</v>
      </c>
      <c r="C166" t="s">
        <v>348</v>
      </c>
      <c r="G166" s="31">
        <v>43936</v>
      </c>
      <c r="H166" s="31">
        <v>43937</v>
      </c>
      <c r="I166" s="31">
        <v>43937</v>
      </c>
      <c r="J166" s="12">
        <f t="shared" si="43"/>
        <v>7.5774220000000017E-2</v>
      </c>
      <c r="M166" s="12">
        <f t="shared" si="44"/>
        <v>7.5774220000000017E-2</v>
      </c>
      <c r="N166" s="12">
        <v>7.5774220000000017E-2</v>
      </c>
      <c r="Q166" s="12">
        <f t="shared" si="45"/>
        <v>7.5774220000000017E-2</v>
      </c>
      <c r="U166" s="12">
        <f t="shared" si="46"/>
        <v>0</v>
      </c>
      <c r="AE166" s="30"/>
      <c r="AJ166" s="12">
        <f t="shared" si="47"/>
        <v>0</v>
      </c>
      <c r="AL166" s="1" t="s">
        <v>99</v>
      </c>
      <c r="AM166" s="1" t="s">
        <v>96</v>
      </c>
      <c r="AN166" s="29" t="s">
        <v>97</v>
      </c>
      <c r="AW166" s="12">
        <f t="shared" si="48"/>
        <v>7.5774220000000017E-2</v>
      </c>
      <c r="AX166" s="12"/>
      <c r="AY166" s="12"/>
      <c r="AZ166" s="12">
        <f t="shared" si="49"/>
        <v>7.5774220000000017E-2</v>
      </c>
      <c r="BA166" s="12">
        <v>7.5774220000000017E-2</v>
      </c>
      <c r="BB166" s="7"/>
      <c r="BC166" s="12"/>
      <c r="BD166" s="12">
        <f t="shared" si="50"/>
        <v>7.5774220000000017E-2</v>
      </c>
      <c r="BE166" s="12"/>
      <c r="BF166" s="7"/>
      <c r="BG166" s="12"/>
      <c r="BH166" s="12">
        <f t="shared" si="51"/>
        <v>0</v>
      </c>
      <c r="BI166" s="7"/>
    </row>
    <row r="167" spans="1:61">
      <c r="A167" t="s">
        <v>346</v>
      </c>
      <c r="B167" t="s">
        <v>347</v>
      </c>
      <c r="C167" t="s">
        <v>348</v>
      </c>
      <c r="G167" s="31">
        <v>43966</v>
      </c>
      <c r="H167" s="31">
        <v>43969</v>
      </c>
      <c r="I167" s="31">
        <v>43969</v>
      </c>
      <c r="J167" s="12">
        <f t="shared" si="43"/>
        <v>0.11542687999999998</v>
      </c>
      <c r="M167" s="12">
        <f t="shared" si="44"/>
        <v>0.11542687999999998</v>
      </c>
      <c r="N167" s="12">
        <v>0.11542687999999998</v>
      </c>
      <c r="Q167" s="12">
        <f t="shared" si="45"/>
        <v>0.11542687999999998</v>
      </c>
      <c r="U167" s="12">
        <f t="shared" si="46"/>
        <v>0</v>
      </c>
      <c r="AE167" s="30"/>
      <c r="AJ167" s="12">
        <f t="shared" si="47"/>
        <v>0</v>
      </c>
      <c r="AL167" s="1" t="s">
        <v>99</v>
      </c>
      <c r="AM167" s="1" t="s">
        <v>96</v>
      </c>
      <c r="AN167" s="29" t="s">
        <v>97</v>
      </c>
      <c r="AW167" s="12">
        <f t="shared" si="48"/>
        <v>0.11542687999999998</v>
      </c>
      <c r="AX167" s="12"/>
      <c r="AY167" s="12"/>
      <c r="AZ167" s="12">
        <f t="shared" si="49"/>
        <v>0.11542687999999998</v>
      </c>
      <c r="BA167" s="12">
        <v>0.11542687999999998</v>
      </c>
      <c r="BB167" s="7"/>
      <c r="BC167" s="12"/>
      <c r="BD167" s="12">
        <f t="shared" si="50"/>
        <v>0.11542687999999998</v>
      </c>
      <c r="BE167" s="12"/>
      <c r="BF167" s="7"/>
      <c r="BG167" s="12"/>
      <c r="BH167" s="12">
        <f t="shared" si="51"/>
        <v>0</v>
      </c>
      <c r="BI167" s="7"/>
    </row>
    <row r="168" spans="1:61">
      <c r="A168" t="s">
        <v>346</v>
      </c>
      <c r="B168" t="s">
        <v>347</v>
      </c>
      <c r="C168" t="s">
        <v>348</v>
      </c>
      <c r="G168" s="31">
        <v>43997</v>
      </c>
      <c r="H168" s="31">
        <v>43998</v>
      </c>
      <c r="I168" s="31">
        <v>43998</v>
      </c>
      <c r="J168" s="12">
        <f t="shared" si="43"/>
        <v>6.8871910000000008E-2</v>
      </c>
      <c r="M168" s="12">
        <f t="shared" si="44"/>
        <v>6.8871910000000008E-2</v>
      </c>
      <c r="N168" s="12">
        <v>6.8871910000000008E-2</v>
      </c>
      <c r="Q168" s="12">
        <f t="shared" si="45"/>
        <v>6.8871910000000008E-2</v>
      </c>
      <c r="U168" s="12">
        <f t="shared" si="46"/>
        <v>0</v>
      </c>
      <c r="AE168" s="30"/>
      <c r="AJ168" s="12">
        <f t="shared" si="47"/>
        <v>0</v>
      </c>
      <c r="AL168" s="1" t="s">
        <v>99</v>
      </c>
      <c r="AM168" s="1" t="s">
        <v>96</v>
      </c>
      <c r="AN168" s="29" t="s">
        <v>97</v>
      </c>
      <c r="AW168" s="12">
        <f t="shared" si="48"/>
        <v>6.8871910000000008E-2</v>
      </c>
      <c r="AX168" s="12"/>
      <c r="AY168" s="12"/>
      <c r="AZ168" s="12">
        <f t="shared" si="49"/>
        <v>6.8871910000000008E-2</v>
      </c>
      <c r="BA168" s="12">
        <v>6.8871910000000008E-2</v>
      </c>
      <c r="BB168" s="7"/>
      <c r="BC168" s="12"/>
      <c r="BD168" s="12">
        <f t="shared" si="50"/>
        <v>6.8871910000000008E-2</v>
      </c>
      <c r="BE168" s="12"/>
      <c r="BF168" s="7"/>
      <c r="BG168" s="12"/>
      <c r="BH168" s="12">
        <f t="shared" si="51"/>
        <v>0</v>
      </c>
      <c r="BI168" s="7"/>
    </row>
    <row r="169" spans="1:61">
      <c r="A169" t="s">
        <v>346</v>
      </c>
      <c r="B169" t="s">
        <v>347</v>
      </c>
      <c r="C169" t="s">
        <v>348</v>
      </c>
      <c r="G169" s="31">
        <v>44027</v>
      </c>
      <c r="H169" s="31">
        <v>44028</v>
      </c>
      <c r="I169" s="31">
        <v>44028</v>
      </c>
      <c r="J169" s="12">
        <f t="shared" si="43"/>
        <v>3.714808E-2</v>
      </c>
      <c r="M169" s="12">
        <f t="shared" si="44"/>
        <v>3.714808E-2</v>
      </c>
      <c r="N169" s="12">
        <v>3.714808E-2</v>
      </c>
      <c r="Q169" s="12">
        <f t="shared" si="45"/>
        <v>3.714808E-2</v>
      </c>
      <c r="U169" s="12">
        <f t="shared" si="46"/>
        <v>0</v>
      </c>
      <c r="AE169" s="30"/>
      <c r="AJ169" s="12">
        <f t="shared" si="47"/>
        <v>0</v>
      </c>
      <c r="AL169" s="1" t="s">
        <v>99</v>
      </c>
      <c r="AM169" s="1" t="s">
        <v>96</v>
      </c>
      <c r="AN169" s="29" t="s">
        <v>97</v>
      </c>
      <c r="AW169" s="12">
        <f t="shared" si="48"/>
        <v>3.714808E-2</v>
      </c>
      <c r="AX169" s="12"/>
      <c r="AY169" s="12"/>
      <c r="AZ169" s="12">
        <f t="shared" si="49"/>
        <v>3.714808E-2</v>
      </c>
      <c r="BA169" s="12">
        <v>3.714808E-2</v>
      </c>
      <c r="BB169" s="7"/>
      <c r="BC169" s="12"/>
      <c r="BD169" s="12">
        <f t="shared" si="50"/>
        <v>3.714808E-2</v>
      </c>
      <c r="BE169" s="12"/>
      <c r="BF169" s="7"/>
      <c r="BG169" s="12"/>
      <c r="BH169" s="12">
        <f t="shared" si="51"/>
        <v>0</v>
      </c>
      <c r="BI169" s="7"/>
    </row>
    <row r="170" spans="1:61">
      <c r="A170" t="s">
        <v>346</v>
      </c>
      <c r="B170" t="s">
        <v>347</v>
      </c>
      <c r="C170" t="s">
        <v>348</v>
      </c>
      <c r="G170" s="31">
        <v>44060</v>
      </c>
      <c r="H170" s="31">
        <v>44061</v>
      </c>
      <c r="I170" s="31">
        <v>44061</v>
      </c>
      <c r="J170" s="12">
        <f t="shared" si="43"/>
        <v>5.661163000000001E-2</v>
      </c>
      <c r="M170" s="12">
        <f t="shared" si="44"/>
        <v>5.661163000000001E-2</v>
      </c>
      <c r="N170" s="12">
        <v>5.661163000000001E-2</v>
      </c>
      <c r="Q170" s="12">
        <f t="shared" si="45"/>
        <v>5.661163000000001E-2</v>
      </c>
      <c r="U170" s="12">
        <f t="shared" si="46"/>
        <v>0</v>
      </c>
      <c r="AE170" s="30"/>
      <c r="AJ170" s="12">
        <f t="shared" si="47"/>
        <v>0</v>
      </c>
      <c r="AL170" s="1" t="s">
        <v>99</v>
      </c>
      <c r="AM170" s="1" t="s">
        <v>96</v>
      </c>
      <c r="AN170" s="29" t="s">
        <v>97</v>
      </c>
      <c r="AW170" s="12">
        <f t="shared" si="48"/>
        <v>5.661163000000001E-2</v>
      </c>
      <c r="AX170" s="12"/>
      <c r="AY170" s="12"/>
      <c r="AZ170" s="12">
        <f t="shared" si="49"/>
        <v>5.661163000000001E-2</v>
      </c>
      <c r="BA170" s="12">
        <v>5.661163000000001E-2</v>
      </c>
      <c r="BB170" s="7"/>
      <c r="BC170" s="12"/>
      <c r="BD170" s="12">
        <f t="shared" si="50"/>
        <v>5.661163000000001E-2</v>
      </c>
      <c r="BE170" s="12"/>
      <c r="BF170" s="7"/>
      <c r="BG170" s="12"/>
      <c r="BH170" s="12">
        <f t="shared" si="51"/>
        <v>0</v>
      </c>
      <c r="BI170" s="7"/>
    </row>
    <row r="171" spans="1:61">
      <c r="A171" t="s">
        <v>346</v>
      </c>
      <c r="B171" t="s">
        <v>347</v>
      </c>
      <c r="C171" t="s">
        <v>348</v>
      </c>
      <c r="G171" s="31">
        <v>44089</v>
      </c>
      <c r="H171" s="31">
        <v>44090</v>
      </c>
      <c r="I171" s="31">
        <v>44090</v>
      </c>
      <c r="J171" s="12">
        <f t="shared" si="43"/>
        <v>0.13198889999999999</v>
      </c>
      <c r="M171" s="12">
        <f t="shared" si="44"/>
        <v>0.13198889999999999</v>
      </c>
      <c r="N171" s="12">
        <v>0.13198889999999999</v>
      </c>
      <c r="Q171" s="12">
        <f t="shared" si="45"/>
        <v>0.13198889999999999</v>
      </c>
      <c r="U171" s="12">
        <f t="shared" si="46"/>
        <v>0</v>
      </c>
      <c r="AE171" s="30"/>
      <c r="AJ171" s="12">
        <f t="shared" si="47"/>
        <v>0</v>
      </c>
      <c r="AL171" s="1" t="s">
        <v>99</v>
      </c>
      <c r="AM171" s="1" t="s">
        <v>96</v>
      </c>
      <c r="AN171" s="29" t="s">
        <v>97</v>
      </c>
      <c r="AW171" s="12">
        <f t="shared" si="48"/>
        <v>0.13198889999999999</v>
      </c>
      <c r="AX171" s="12"/>
      <c r="AY171" s="12"/>
      <c r="AZ171" s="12">
        <f t="shared" si="49"/>
        <v>0.13198889999999999</v>
      </c>
      <c r="BA171" s="12">
        <v>0.13198889999999999</v>
      </c>
      <c r="BB171" s="7"/>
      <c r="BC171" s="12"/>
      <c r="BD171" s="12">
        <f t="shared" si="50"/>
        <v>0.13198889999999999</v>
      </c>
      <c r="BE171" s="12"/>
      <c r="BF171" s="7"/>
      <c r="BG171" s="12"/>
      <c r="BH171" s="12">
        <f t="shared" si="51"/>
        <v>0</v>
      </c>
      <c r="BI171" s="7"/>
    </row>
    <row r="172" spans="1:61">
      <c r="A172" t="s">
        <v>346</v>
      </c>
      <c r="B172" t="s">
        <v>347</v>
      </c>
      <c r="C172" t="s">
        <v>348</v>
      </c>
      <c r="G172" s="31">
        <v>44119</v>
      </c>
      <c r="H172" s="31">
        <v>44120</v>
      </c>
      <c r="I172" s="31">
        <v>44120</v>
      </c>
      <c r="J172" s="12">
        <f t="shared" si="43"/>
        <v>2.8822399999999999E-3</v>
      </c>
      <c r="M172" s="12">
        <f t="shared" si="44"/>
        <v>2.8822399999999999E-3</v>
      </c>
      <c r="N172" s="12">
        <v>2.8822399999999999E-3</v>
      </c>
      <c r="Q172" s="12">
        <f t="shared" si="45"/>
        <v>2.8822399999999999E-3</v>
      </c>
      <c r="U172" s="12">
        <f t="shared" si="46"/>
        <v>0</v>
      </c>
      <c r="AE172" s="30"/>
      <c r="AJ172" s="12">
        <f t="shared" si="47"/>
        <v>0</v>
      </c>
      <c r="AL172" s="1" t="s">
        <v>99</v>
      </c>
      <c r="AM172" s="1" t="s">
        <v>96</v>
      </c>
      <c r="AN172" s="29" t="s">
        <v>97</v>
      </c>
      <c r="AW172" s="12">
        <f t="shared" si="48"/>
        <v>2.8822399999999999E-3</v>
      </c>
      <c r="AX172" s="12"/>
      <c r="AY172" s="12"/>
      <c r="AZ172" s="12">
        <f t="shared" si="49"/>
        <v>2.8822399999999999E-3</v>
      </c>
      <c r="BA172" s="12">
        <v>2.8822399999999999E-3</v>
      </c>
      <c r="BB172" s="7"/>
      <c r="BC172" s="12"/>
      <c r="BD172" s="12">
        <f t="shared" si="50"/>
        <v>2.8822399999999999E-3</v>
      </c>
      <c r="BE172" s="12"/>
      <c r="BF172" s="7"/>
      <c r="BG172" s="12"/>
      <c r="BH172" s="12">
        <f t="shared" si="51"/>
        <v>0</v>
      </c>
      <c r="BI172" s="7"/>
    </row>
    <row r="173" spans="1:61">
      <c r="A173" t="s">
        <v>346</v>
      </c>
      <c r="B173" t="s">
        <v>347</v>
      </c>
      <c r="C173" t="s">
        <v>348</v>
      </c>
      <c r="G173" s="31">
        <v>44151</v>
      </c>
      <c r="H173" s="31">
        <v>44152</v>
      </c>
      <c r="I173" s="31">
        <v>44152</v>
      </c>
      <c r="J173" s="12">
        <f t="shared" si="43"/>
        <v>1.1813010000000002E-2</v>
      </c>
      <c r="M173" s="12">
        <f t="shared" si="44"/>
        <v>1.1813010000000002E-2</v>
      </c>
      <c r="N173" s="12">
        <v>1.1813010000000002E-2</v>
      </c>
      <c r="Q173" s="12">
        <f t="shared" si="45"/>
        <v>1.1813010000000002E-2</v>
      </c>
      <c r="U173" s="12">
        <f t="shared" si="46"/>
        <v>0</v>
      </c>
      <c r="AE173" s="30"/>
      <c r="AJ173" s="12">
        <f t="shared" si="47"/>
        <v>0</v>
      </c>
      <c r="AL173" s="1" t="s">
        <v>99</v>
      </c>
      <c r="AM173" s="1" t="s">
        <v>96</v>
      </c>
      <c r="AN173" s="29" t="s">
        <v>97</v>
      </c>
      <c r="AW173" s="12">
        <f t="shared" si="48"/>
        <v>1.1813010000000002E-2</v>
      </c>
      <c r="AX173" s="12"/>
      <c r="AY173" s="12"/>
      <c r="AZ173" s="12">
        <f t="shared" si="49"/>
        <v>1.1813010000000002E-2</v>
      </c>
      <c r="BA173" s="12">
        <v>1.1813010000000002E-2</v>
      </c>
      <c r="BB173" s="7"/>
      <c r="BC173" s="12"/>
      <c r="BD173" s="12">
        <f t="shared" si="50"/>
        <v>1.1813010000000002E-2</v>
      </c>
      <c r="BE173" s="12"/>
      <c r="BF173" s="7"/>
      <c r="BG173" s="12"/>
      <c r="BH173" s="12">
        <f t="shared" si="51"/>
        <v>0</v>
      </c>
      <c r="BI173" s="7"/>
    </row>
    <row r="174" spans="1:61">
      <c r="A174" t="s">
        <v>349</v>
      </c>
      <c r="B174" t="s">
        <v>350</v>
      </c>
      <c r="C174" t="s">
        <v>351</v>
      </c>
      <c r="G174" s="31">
        <v>44175</v>
      </c>
      <c r="H174" s="31">
        <v>44176</v>
      </c>
      <c r="I174" s="31">
        <v>44176</v>
      </c>
      <c r="J174" s="12">
        <f t="shared" si="43"/>
        <v>6.3228799999999995E-3</v>
      </c>
      <c r="M174" s="12">
        <f t="shared" si="44"/>
        <v>6.3228799999999995E-3</v>
      </c>
      <c r="N174" s="12">
        <v>6.3228799999999995E-3</v>
      </c>
      <c r="Q174" s="12">
        <f t="shared" si="45"/>
        <v>6.3228799999999995E-3</v>
      </c>
      <c r="U174" s="12">
        <f t="shared" si="46"/>
        <v>0</v>
      </c>
      <c r="AE174" s="30"/>
      <c r="AJ174" s="12">
        <f t="shared" si="47"/>
        <v>0</v>
      </c>
      <c r="AL174" s="1" t="s">
        <v>99</v>
      </c>
      <c r="AM174" s="1" t="s">
        <v>96</v>
      </c>
      <c r="AN174" s="29" t="s">
        <v>97</v>
      </c>
      <c r="AW174" s="12">
        <f t="shared" si="48"/>
        <v>6.3228799999999995E-3</v>
      </c>
      <c r="AX174" s="12"/>
      <c r="AY174" s="12"/>
      <c r="AZ174" s="12">
        <f t="shared" si="49"/>
        <v>6.3228799999999995E-3</v>
      </c>
      <c r="BA174" s="12">
        <v>6.3228799999999995E-3</v>
      </c>
      <c r="BB174" s="7"/>
      <c r="BC174" s="12"/>
      <c r="BD174" s="12">
        <f t="shared" si="50"/>
        <v>6.3228799999999995E-3</v>
      </c>
      <c r="BE174" s="12"/>
      <c r="BF174" s="7"/>
      <c r="BG174" s="12"/>
      <c r="BH174" s="12">
        <f t="shared" si="51"/>
        <v>0</v>
      </c>
      <c r="BI174" s="7"/>
    </row>
    <row r="175" spans="1:61">
      <c r="A175" t="s">
        <v>352</v>
      </c>
      <c r="B175" t="s">
        <v>353</v>
      </c>
      <c r="C175" t="s">
        <v>354</v>
      </c>
      <c r="G175" s="31">
        <v>44175</v>
      </c>
      <c r="H175" s="31">
        <v>44176</v>
      </c>
      <c r="I175" s="31">
        <v>44176</v>
      </c>
      <c r="J175" s="12">
        <f t="shared" si="43"/>
        <v>4.0945399999999994</v>
      </c>
      <c r="M175" s="12">
        <f t="shared" si="44"/>
        <v>4.0945399999999994</v>
      </c>
      <c r="O175" s="7">
        <v>4.0945399999999994</v>
      </c>
      <c r="Q175" s="12">
        <f t="shared" si="45"/>
        <v>4.0945399999999994</v>
      </c>
      <c r="U175" s="12">
        <f t="shared" si="46"/>
        <v>0</v>
      </c>
      <c r="AE175" s="30"/>
      <c r="AJ175" s="12">
        <f t="shared" si="47"/>
        <v>0</v>
      </c>
      <c r="AL175" s="1" t="s">
        <v>99</v>
      </c>
      <c r="AM175" s="1" t="s">
        <v>96</v>
      </c>
      <c r="AN175" s="29" t="s">
        <v>97</v>
      </c>
      <c r="AW175" s="12">
        <f t="shared" si="48"/>
        <v>4.0945399999999994</v>
      </c>
      <c r="AX175" s="12"/>
      <c r="AY175" s="12"/>
      <c r="AZ175" s="12">
        <f t="shared" si="49"/>
        <v>4.0945399999999994</v>
      </c>
      <c r="BA175" s="12"/>
      <c r="BB175" s="7">
        <v>4.0945399999999994</v>
      </c>
      <c r="BC175" s="12"/>
      <c r="BD175" s="12">
        <f t="shared" si="50"/>
        <v>4.0945399999999994</v>
      </c>
      <c r="BE175" s="12"/>
      <c r="BF175" s="7"/>
      <c r="BG175" s="12"/>
      <c r="BH175" s="12">
        <f t="shared" si="51"/>
        <v>0</v>
      </c>
      <c r="BI175" s="7"/>
    </row>
    <row r="176" spans="1:61">
      <c r="A176" t="s">
        <v>355</v>
      </c>
      <c r="B176" t="s">
        <v>356</v>
      </c>
      <c r="C176" t="s">
        <v>357</v>
      </c>
      <c r="G176" s="31">
        <v>44175</v>
      </c>
      <c r="H176" s="31">
        <v>44176</v>
      </c>
      <c r="I176" s="31">
        <v>44176</v>
      </c>
      <c r="J176" s="12">
        <f t="shared" si="43"/>
        <v>6.0581500000000004</v>
      </c>
      <c r="M176" s="12">
        <f t="shared" si="44"/>
        <v>6.0581500000000004</v>
      </c>
      <c r="O176" s="7">
        <v>6.0581500000000004</v>
      </c>
      <c r="Q176" s="12">
        <f t="shared" si="45"/>
        <v>6.0581500000000004</v>
      </c>
      <c r="U176" s="12">
        <f t="shared" si="46"/>
        <v>0</v>
      </c>
      <c r="AE176" s="30"/>
      <c r="AJ176" s="12">
        <f t="shared" si="47"/>
        <v>0</v>
      </c>
      <c r="AL176" s="1" t="s">
        <v>99</v>
      </c>
      <c r="AM176" s="1" t="s">
        <v>96</v>
      </c>
      <c r="AN176" s="29" t="s">
        <v>97</v>
      </c>
      <c r="AW176" s="12">
        <f t="shared" si="48"/>
        <v>6.0581500000000004</v>
      </c>
      <c r="AX176" s="12"/>
      <c r="AY176" s="12"/>
      <c r="AZ176" s="12">
        <f t="shared" si="49"/>
        <v>6.0581500000000004</v>
      </c>
      <c r="BA176" s="12"/>
      <c r="BB176" s="7">
        <v>6.0581500000000004</v>
      </c>
      <c r="BC176" s="12"/>
      <c r="BD176" s="12">
        <f t="shared" si="50"/>
        <v>6.0581500000000004</v>
      </c>
      <c r="BE176" s="12"/>
      <c r="BF176" s="7"/>
      <c r="BG176" s="12"/>
      <c r="BH176" s="12">
        <f t="shared" si="51"/>
        <v>0</v>
      </c>
      <c r="BI176" s="7"/>
    </row>
    <row r="177" spans="1:61">
      <c r="A177" t="s">
        <v>358</v>
      </c>
      <c r="B177" t="s">
        <v>359</v>
      </c>
      <c r="C177" t="s">
        <v>360</v>
      </c>
      <c r="G177" s="31">
        <v>44175</v>
      </c>
      <c r="H177" s="31">
        <v>44176</v>
      </c>
      <c r="I177" s="31">
        <v>44176</v>
      </c>
      <c r="J177" s="12">
        <f t="shared" si="43"/>
        <v>0.71418999999999988</v>
      </c>
      <c r="M177" s="12">
        <f t="shared" si="44"/>
        <v>0.71418999999999988</v>
      </c>
      <c r="O177" s="7">
        <v>0.71418999999999988</v>
      </c>
      <c r="Q177" s="12">
        <f t="shared" si="45"/>
        <v>0.71418999999999988</v>
      </c>
      <c r="S177" s="7">
        <f>O177*0.0799</f>
        <v>5.7063780999999987E-2</v>
      </c>
      <c r="U177" s="12">
        <f t="shared" si="46"/>
        <v>5.7063780999999987E-2</v>
      </c>
      <c r="AE177" s="30"/>
      <c r="AJ177" s="12">
        <f t="shared" si="47"/>
        <v>0</v>
      </c>
      <c r="AL177" s="1" t="s">
        <v>99</v>
      </c>
      <c r="AM177" s="1" t="s">
        <v>96</v>
      </c>
      <c r="AN177" s="29" t="s">
        <v>97</v>
      </c>
      <c r="AW177" s="12">
        <f t="shared" si="48"/>
        <v>0.71418999999999988</v>
      </c>
      <c r="AX177" s="12"/>
      <c r="AY177" s="12"/>
      <c r="AZ177" s="12">
        <f t="shared" si="49"/>
        <v>0.71418999999999988</v>
      </c>
      <c r="BA177" s="12"/>
      <c r="BB177" s="7">
        <v>0.71418999999999988</v>
      </c>
      <c r="BC177" s="12"/>
      <c r="BD177" s="12">
        <f t="shared" si="50"/>
        <v>0.71418999999999988</v>
      </c>
      <c r="BE177" s="12"/>
      <c r="BF177" s="7"/>
      <c r="BG177" s="12"/>
      <c r="BH177" s="12">
        <f t="shared" si="51"/>
        <v>0</v>
      </c>
      <c r="BI177" s="7"/>
    </row>
    <row r="178" spans="1:61">
      <c r="A178" t="s">
        <v>361</v>
      </c>
      <c r="B178" t="s">
        <v>362</v>
      </c>
      <c r="C178" t="s">
        <v>363</v>
      </c>
      <c r="G178" s="31">
        <v>43915</v>
      </c>
      <c r="H178" s="31">
        <v>43914</v>
      </c>
      <c r="I178" s="31">
        <v>43921</v>
      </c>
      <c r="J178" s="12">
        <f t="shared" si="43"/>
        <v>0.15537999999999996</v>
      </c>
      <c r="M178" s="12">
        <f t="shared" si="44"/>
        <v>0.15537999999999996</v>
      </c>
      <c r="N178" s="12">
        <v>0.15537999999999996</v>
      </c>
      <c r="Q178" s="12">
        <f t="shared" si="45"/>
        <v>0.15537999999999996</v>
      </c>
      <c r="R178" s="12">
        <f>N178*0.3178</f>
        <v>4.9379763999999993E-2</v>
      </c>
      <c r="U178" s="12">
        <f t="shared" si="46"/>
        <v>4.9379763999999993E-2</v>
      </c>
      <c r="AE178" s="30"/>
      <c r="AJ178" s="12">
        <f t="shared" si="47"/>
        <v>0</v>
      </c>
      <c r="AL178" s="1" t="s">
        <v>101</v>
      </c>
      <c r="AM178" s="1" t="s">
        <v>101</v>
      </c>
      <c r="AN178" s="29" t="s">
        <v>98</v>
      </c>
      <c r="AW178" s="12">
        <f t="shared" si="48"/>
        <v>0.15537999999999996</v>
      </c>
      <c r="AX178" s="12"/>
      <c r="AY178" s="12"/>
      <c r="AZ178" s="12">
        <f t="shared" si="49"/>
        <v>0.15537999999999996</v>
      </c>
      <c r="BA178" s="12">
        <v>0.15537999999999996</v>
      </c>
      <c r="BB178" s="7"/>
      <c r="BC178" s="12"/>
      <c r="BD178" s="12">
        <f t="shared" si="50"/>
        <v>0.15537999999999996</v>
      </c>
      <c r="BE178" s="12"/>
      <c r="BF178" s="7"/>
      <c r="BG178" s="12"/>
      <c r="BH178" s="12">
        <f t="shared" si="51"/>
        <v>0</v>
      </c>
      <c r="BI178" s="7"/>
    </row>
    <row r="179" spans="1:61">
      <c r="A179" t="s">
        <v>361</v>
      </c>
      <c r="B179" t="s">
        <v>362</v>
      </c>
      <c r="C179" t="s">
        <v>363</v>
      </c>
      <c r="G179" s="31">
        <v>44006</v>
      </c>
      <c r="H179" s="31">
        <v>44005</v>
      </c>
      <c r="I179" s="31">
        <v>44012</v>
      </c>
      <c r="J179" s="12">
        <f t="shared" si="43"/>
        <v>0.18501999999999996</v>
      </c>
      <c r="M179" s="12">
        <f t="shared" si="44"/>
        <v>0.18501999999999996</v>
      </c>
      <c r="N179" s="12">
        <v>0.18501999999999996</v>
      </c>
      <c r="Q179" s="12">
        <f t="shared" si="45"/>
        <v>0.18501999999999996</v>
      </c>
      <c r="R179" s="12">
        <f>N179*0.3178</f>
        <v>5.879935599999999E-2</v>
      </c>
      <c r="U179" s="12">
        <f t="shared" si="46"/>
        <v>5.879935599999999E-2</v>
      </c>
      <c r="AE179" s="30"/>
      <c r="AJ179" s="12">
        <f t="shared" si="47"/>
        <v>0</v>
      </c>
      <c r="AL179" s="1" t="s">
        <v>101</v>
      </c>
      <c r="AM179" s="1" t="s">
        <v>101</v>
      </c>
      <c r="AN179" s="29" t="s">
        <v>98</v>
      </c>
      <c r="AW179" s="12">
        <f t="shared" si="48"/>
        <v>0.18501999999999996</v>
      </c>
      <c r="AX179" s="12"/>
      <c r="AY179" s="12"/>
      <c r="AZ179" s="12">
        <f t="shared" si="49"/>
        <v>0.18501999999999996</v>
      </c>
      <c r="BA179" s="12">
        <v>0.18501999999999996</v>
      </c>
      <c r="BB179" s="7"/>
      <c r="BC179" s="12"/>
      <c r="BD179" s="12">
        <f t="shared" si="50"/>
        <v>0.18501999999999996</v>
      </c>
      <c r="BE179" s="12"/>
      <c r="BF179" s="7"/>
      <c r="BG179" s="12"/>
      <c r="BH179" s="12">
        <f t="shared" si="51"/>
        <v>0</v>
      </c>
      <c r="BI179" s="7"/>
    </row>
    <row r="180" spans="1:61">
      <c r="A180" t="s">
        <v>361</v>
      </c>
      <c r="B180" t="s">
        <v>362</v>
      </c>
      <c r="C180" t="s">
        <v>363</v>
      </c>
      <c r="G180" s="31">
        <v>44097</v>
      </c>
      <c r="H180" s="31">
        <v>44096</v>
      </c>
      <c r="I180" s="31">
        <v>44103</v>
      </c>
      <c r="J180" s="12">
        <f t="shared" si="43"/>
        <v>0.22552000000000003</v>
      </c>
      <c r="M180" s="12">
        <f t="shared" si="44"/>
        <v>0.22552000000000003</v>
      </c>
      <c r="N180" s="12">
        <v>0.22552000000000003</v>
      </c>
      <c r="Q180" s="12">
        <f t="shared" si="45"/>
        <v>0.22552000000000003</v>
      </c>
      <c r="R180" s="12">
        <f>N180*0.3178</f>
        <v>7.1670256000000016E-2</v>
      </c>
      <c r="U180" s="12">
        <f t="shared" si="46"/>
        <v>7.1670256000000016E-2</v>
      </c>
      <c r="AE180" s="30"/>
      <c r="AJ180" s="12">
        <f t="shared" si="47"/>
        <v>0</v>
      </c>
      <c r="AL180" s="1" t="s">
        <v>101</v>
      </c>
      <c r="AM180" s="1" t="s">
        <v>101</v>
      </c>
      <c r="AN180" s="29" t="s">
        <v>98</v>
      </c>
      <c r="AW180" s="12">
        <f t="shared" si="48"/>
        <v>0.22552000000000003</v>
      </c>
      <c r="AX180" s="12"/>
      <c r="AY180" s="12"/>
      <c r="AZ180" s="12">
        <f t="shared" si="49"/>
        <v>0.22552000000000003</v>
      </c>
      <c r="BA180" s="12">
        <v>0.22552000000000003</v>
      </c>
      <c r="BB180" s="7"/>
      <c r="BC180" s="12"/>
      <c r="BD180" s="12">
        <f t="shared" si="50"/>
        <v>0.22552000000000003</v>
      </c>
      <c r="BE180" s="12"/>
      <c r="BF180" s="7"/>
      <c r="BG180" s="12"/>
      <c r="BH180" s="12">
        <f t="shared" si="51"/>
        <v>0</v>
      </c>
      <c r="BI180" s="7"/>
    </row>
    <row r="181" spans="1:61">
      <c r="A181" t="s">
        <v>361</v>
      </c>
      <c r="B181" t="s">
        <v>362</v>
      </c>
      <c r="C181" t="s">
        <v>363</v>
      </c>
      <c r="G181" s="31">
        <v>44176</v>
      </c>
      <c r="H181" s="31">
        <v>44175</v>
      </c>
      <c r="I181" s="31">
        <v>44182</v>
      </c>
      <c r="J181" s="12">
        <f t="shared" si="43"/>
        <v>1.5990200000000001</v>
      </c>
      <c r="M181" s="12">
        <f t="shared" si="44"/>
        <v>1.5990200000000001</v>
      </c>
      <c r="O181" s="7">
        <v>1.5990200000000001</v>
      </c>
      <c r="Q181" s="12">
        <f t="shared" si="45"/>
        <v>1.5990200000000001</v>
      </c>
      <c r="S181" s="7">
        <f>O181*0.3178</f>
        <v>0.5081685560000001</v>
      </c>
      <c r="U181" s="12">
        <f t="shared" si="46"/>
        <v>0.5081685560000001</v>
      </c>
      <c r="AE181" s="30"/>
      <c r="AJ181" s="12">
        <f t="shared" si="47"/>
        <v>0</v>
      </c>
      <c r="AL181" s="1" t="s">
        <v>101</v>
      </c>
      <c r="AM181" s="1" t="s">
        <v>101</v>
      </c>
      <c r="AN181" s="29" t="s">
        <v>98</v>
      </c>
      <c r="AW181" s="12">
        <f t="shared" si="48"/>
        <v>1.5990200000000001</v>
      </c>
      <c r="AX181" s="12"/>
      <c r="AY181" s="12"/>
      <c r="AZ181" s="12">
        <f t="shared" si="49"/>
        <v>1.5990200000000001</v>
      </c>
      <c r="BA181" s="12"/>
      <c r="BB181" s="7">
        <v>1.5990200000000001</v>
      </c>
      <c r="BC181" s="12"/>
      <c r="BD181" s="12">
        <f t="shared" si="50"/>
        <v>1.5990200000000001</v>
      </c>
      <c r="BE181" s="12"/>
      <c r="BF181" s="7"/>
      <c r="BG181" s="12"/>
      <c r="BH181" s="12">
        <f t="shared" si="51"/>
        <v>0</v>
      </c>
      <c r="BI181" s="7"/>
    </row>
    <row r="182" spans="1:61">
      <c r="A182" t="s">
        <v>361</v>
      </c>
      <c r="B182" t="s">
        <v>362</v>
      </c>
      <c r="C182" t="s">
        <v>363</v>
      </c>
      <c r="G182" s="31">
        <v>44188</v>
      </c>
      <c r="H182" s="31">
        <v>44187</v>
      </c>
      <c r="I182" s="31">
        <v>44195</v>
      </c>
      <c r="J182" s="12">
        <f t="shared" si="43"/>
        <v>0.18433999999999998</v>
      </c>
      <c r="M182" s="12">
        <f t="shared" si="44"/>
        <v>0.18433999999999998</v>
      </c>
      <c r="N182" s="12">
        <v>0.18433999999999998</v>
      </c>
      <c r="Q182" s="12">
        <f t="shared" si="45"/>
        <v>0.18433999999999998</v>
      </c>
      <c r="R182" s="12">
        <f>N182*0.3178</f>
        <v>5.8583251999999995E-2</v>
      </c>
      <c r="U182" s="12">
        <f t="shared" si="46"/>
        <v>5.8583251999999995E-2</v>
      </c>
      <c r="AE182" s="30"/>
      <c r="AJ182" s="12">
        <f t="shared" si="47"/>
        <v>0</v>
      </c>
      <c r="AL182" s="1" t="s">
        <v>101</v>
      </c>
      <c r="AM182" s="1" t="s">
        <v>101</v>
      </c>
      <c r="AN182" s="29" t="s">
        <v>98</v>
      </c>
      <c r="AW182" s="12">
        <f t="shared" si="48"/>
        <v>0.18433999999999998</v>
      </c>
      <c r="AX182" s="12"/>
      <c r="AY182" s="12"/>
      <c r="AZ182" s="12">
        <f t="shared" si="49"/>
        <v>0.18433999999999998</v>
      </c>
      <c r="BA182" s="12">
        <v>0.18433999999999998</v>
      </c>
      <c r="BB182" s="7"/>
      <c r="BC182" s="12"/>
      <c r="BD182" s="12">
        <f t="shared" si="50"/>
        <v>0.18433999999999998</v>
      </c>
      <c r="BE182" s="12"/>
      <c r="BF182" s="7"/>
      <c r="BG182" s="12"/>
      <c r="BH182" s="12">
        <f t="shared" si="51"/>
        <v>0</v>
      </c>
      <c r="BI182" s="7"/>
    </row>
    <row r="183" spans="1:61">
      <c r="A183" t="s">
        <v>364</v>
      </c>
      <c r="B183" t="s">
        <v>365</v>
      </c>
      <c r="C183" t="s">
        <v>366</v>
      </c>
      <c r="G183" s="31">
        <v>43915</v>
      </c>
      <c r="H183" s="31">
        <v>43914</v>
      </c>
      <c r="I183" s="31">
        <v>43921</v>
      </c>
      <c r="J183" s="12">
        <f t="shared" si="43"/>
        <v>8.6270000000000013E-2</v>
      </c>
      <c r="M183" s="12">
        <f t="shared" si="44"/>
        <v>8.6270000000000013E-2</v>
      </c>
      <c r="N183" s="12">
        <v>8.6270000000000013E-2</v>
      </c>
      <c r="Q183" s="12">
        <f t="shared" si="45"/>
        <v>8.6270000000000013E-2</v>
      </c>
      <c r="R183" s="12">
        <f>N183*0.6463</f>
        <v>5.5756301000000008E-2</v>
      </c>
      <c r="U183" s="12">
        <f t="shared" si="46"/>
        <v>5.5756301000000008E-2</v>
      </c>
      <c r="AE183" s="30"/>
      <c r="AJ183" s="12">
        <f t="shared" si="47"/>
        <v>0</v>
      </c>
      <c r="AL183" s="1" t="s">
        <v>101</v>
      </c>
      <c r="AM183" s="1" t="s">
        <v>101</v>
      </c>
      <c r="AN183" s="29" t="s">
        <v>98</v>
      </c>
      <c r="AW183" s="12">
        <f t="shared" si="48"/>
        <v>8.6270000000000013E-2</v>
      </c>
      <c r="AX183" s="12"/>
      <c r="AY183" s="12"/>
      <c r="AZ183" s="12">
        <f t="shared" si="49"/>
        <v>8.6270000000000013E-2</v>
      </c>
      <c r="BA183" s="12">
        <v>8.6270000000000013E-2</v>
      </c>
      <c r="BB183" s="7"/>
      <c r="BC183" s="12"/>
      <c r="BD183" s="12">
        <f t="shared" si="50"/>
        <v>8.6270000000000013E-2</v>
      </c>
      <c r="BE183" s="12"/>
      <c r="BF183" s="7"/>
      <c r="BG183" s="12"/>
      <c r="BH183" s="12">
        <f t="shared" si="51"/>
        <v>0</v>
      </c>
      <c r="BI183" s="7"/>
    </row>
    <row r="184" spans="1:61">
      <c r="A184" t="s">
        <v>364</v>
      </c>
      <c r="B184" t="s">
        <v>365</v>
      </c>
      <c r="C184" t="s">
        <v>366</v>
      </c>
      <c r="G184" s="31">
        <v>44006</v>
      </c>
      <c r="H184" s="31">
        <v>44005</v>
      </c>
      <c r="I184" s="31">
        <v>44012</v>
      </c>
      <c r="J184" s="12">
        <f t="shared" si="43"/>
        <v>8.9040000000000022E-2</v>
      </c>
      <c r="M184" s="12">
        <f t="shared" si="44"/>
        <v>8.9040000000000022E-2</v>
      </c>
      <c r="N184" s="12">
        <v>8.9040000000000022E-2</v>
      </c>
      <c r="Q184" s="12">
        <f t="shared" si="45"/>
        <v>8.9040000000000022E-2</v>
      </c>
      <c r="R184" s="12">
        <f>N184*0.6463</f>
        <v>5.7546552000000015E-2</v>
      </c>
      <c r="U184" s="12">
        <f t="shared" si="46"/>
        <v>5.7546552000000015E-2</v>
      </c>
      <c r="AE184" s="30"/>
      <c r="AJ184" s="12">
        <f t="shared" si="47"/>
        <v>0</v>
      </c>
      <c r="AL184" s="1" t="s">
        <v>101</v>
      </c>
      <c r="AM184" s="1" t="s">
        <v>101</v>
      </c>
      <c r="AN184" s="29" t="s">
        <v>98</v>
      </c>
      <c r="AW184" s="12">
        <f t="shared" si="48"/>
        <v>8.9040000000000022E-2</v>
      </c>
      <c r="AX184" s="12"/>
      <c r="AY184" s="12"/>
      <c r="AZ184" s="12">
        <f t="shared" si="49"/>
        <v>8.9040000000000022E-2</v>
      </c>
      <c r="BA184" s="12">
        <v>8.9040000000000022E-2</v>
      </c>
      <c r="BB184" s="7"/>
      <c r="BC184" s="12"/>
      <c r="BD184" s="12">
        <f t="shared" si="50"/>
        <v>8.9040000000000022E-2</v>
      </c>
      <c r="BE184" s="12"/>
      <c r="BF184" s="7"/>
      <c r="BG184" s="12"/>
      <c r="BH184" s="12">
        <f t="shared" si="51"/>
        <v>0</v>
      </c>
      <c r="BI184" s="7"/>
    </row>
    <row r="185" spans="1:61">
      <c r="A185" t="s">
        <v>364</v>
      </c>
      <c r="B185" t="s">
        <v>365</v>
      </c>
      <c r="C185" t="s">
        <v>366</v>
      </c>
      <c r="G185" s="31">
        <v>44097</v>
      </c>
      <c r="H185" s="31">
        <v>44096</v>
      </c>
      <c r="I185" s="31">
        <v>44103</v>
      </c>
      <c r="J185" s="12">
        <f t="shared" ref="J185:J198" si="53">K185+L185+M185</f>
        <v>8.2139999999999991E-2</v>
      </c>
      <c r="M185" s="12">
        <f t="shared" ref="M185:M198" si="54">N185+O185+V185+Z185+AB185+AD185</f>
        <v>8.2139999999999991E-2</v>
      </c>
      <c r="N185" s="12">
        <v>8.2139999999999991E-2</v>
      </c>
      <c r="Q185" s="12">
        <f t="shared" ref="Q185:Q198" si="55">N185+O185+P185</f>
        <v>8.2139999999999991E-2</v>
      </c>
      <c r="R185" s="12">
        <f>N185*0.6463</f>
        <v>5.3087081999999994E-2</v>
      </c>
      <c r="U185" s="12">
        <f t="shared" ref="U185:U198" si="56">R185+S185+T185</f>
        <v>5.3087081999999994E-2</v>
      </c>
      <c r="AE185" s="30"/>
      <c r="AJ185" s="12">
        <f t="shared" ref="AJ185:AJ198" si="57">AG185+AH185+AI185</f>
        <v>0</v>
      </c>
      <c r="AL185" s="1" t="s">
        <v>101</v>
      </c>
      <c r="AM185" s="1" t="s">
        <v>101</v>
      </c>
      <c r="AN185" s="29" t="s">
        <v>98</v>
      </c>
      <c r="AW185" s="12">
        <f t="shared" si="48"/>
        <v>8.2139999999999991E-2</v>
      </c>
      <c r="AX185" s="12"/>
      <c r="AY185" s="12"/>
      <c r="AZ185" s="12">
        <f t="shared" si="49"/>
        <v>8.2139999999999991E-2</v>
      </c>
      <c r="BA185" s="12">
        <v>8.2139999999999991E-2</v>
      </c>
      <c r="BB185" s="7"/>
      <c r="BC185" s="12"/>
      <c r="BD185" s="12">
        <f t="shared" si="50"/>
        <v>8.2139999999999991E-2</v>
      </c>
      <c r="BE185" s="12"/>
      <c r="BF185" s="7"/>
      <c r="BG185" s="12"/>
      <c r="BH185" s="12">
        <f t="shared" si="51"/>
        <v>0</v>
      </c>
      <c r="BI185" s="7"/>
    </row>
    <row r="186" spans="1:61">
      <c r="A186" t="s">
        <v>364</v>
      </c>
      <c r="B186" t="s">
        <v>365</v>
      </c>
      <c r="C186" t="s">
        <v>366</v>
      </c>
      <c r="G186" s="31">
        <v>44176</v>
      </c>
      <c r="H186" s="31">
        <v>44175</v>
      </c>
      <c r="I186" s="31">
        <v>44182</v>
      </c>
      <c r="J186" s="12">
        <f t="shared" si="53"/>
        <v>3.4960000000000005E-2</v>
      </c>
      <c r="M186" s="12">
        <f t="shared" si="54"/>
        <v>3.4960000000000005E-2</v>
      </c>
      <c r="O186" s="7">
        <v>3.4960000000000005E-2</v>
      </c>
      <c r="Q186" s="12">
        <f t="shared" si="55"/>
        <v>3.4960000000000005E-2</v>
      </c>
      <c r="S186" s="12">
        <f>O186*0.6463</f>
        <v>2.2594648000000002E-2</v>
      </c>
      <c r="U186" s="12">
        <f t="shared" si="56"/>
        <v>2.2594648000000002E-2</v>
      </c>
      <c r="AE186" s="30"/>
      <c r="AJ186" s="12">
        <f t="shared" si="57"/>
        <v>0</v>
      </c>
      <c r="AL186" s="1" t="s">
        <v>101</v>
      </c>
      <c r="AM186" s="1" t="s">
        <v>101</v>
      </c>
      <c r="AN186" s="29" t="s">
        <v>98</v>
      </c>
      <c r="AW186" s="12">
        <f t="shared" si="48"/>
        <v>3.4960000000000005E-2</v>
      </c>
      <c r="AX186" s="12"/>
      <c r="AY186" s="12"/>
      <c r="AZ186" s="12">
        <f t="shared" si="49"/>
        <v>3.4960000000000005E-2</v>
      </c>
      <c r="BA186" s="12"/>
      <c r="BB186" s="7">
        <v>3.4960000000000005E-2</v>
      </c>
      <c r="BC186" s="12"/>
      <c r="BD186" s="12">
        <f t="shared" si="50"/>
        <v>3.4960000000000005E-2</v>
      </c>
      <c r="BE186" s="12"/>
      <c r="BF186" s="7"/>
      <c r="BG186" s="12"/>
      <c r="BH186" s="12">
        <f t="shared" si="51"/>
        <v>0</v>
      </c>
      <c r="BI186" s="7"/>
    </row>
    <row r="187" spans="1:61">
      <c r="A187" t="s">
        <v>364</v>
      </c>
      <c r="B187" t="s">
        <v>365</v>
      </c>
      <c r="C187" t="s">
        <v>366</v>
      </c>
      <c r="G187" s="31">
        <v>44188</v>
      </c>
      <c r="H187" s="31">
        <v>44187</v>
      </c>
      <c r="I187" s="31">
        <v>44195</v>
      </c>
      <c r="J187" s="12">
        <f t="shared" si="53"/>
        <v>0.11319000000000001</v>
      </c>
      <c r="M187" s="12">
        <f t="shared" si="54"/>
        <v>0.11319000000000001</v>
      </c>
      <c r="N187" s="12">
        <v>0.11319000000000001</v>
      </c>
      <c r="Q187" s="12">
        <f t="shared" si="55"/>
        <v>0.11319000000000001</v>
      </c>
      <c r="R187" s="12">
        <f>N187*0.6463</f>
        <v>7.3154697000000005E-2</v>
      </c>
      <c r="U187" s="12">
        <f t="shared" si="56"/>
        <v>7.3154697000000005E-2</v>
      </c>
      <c r="AE187" s="30"/>
      <c r="AJ187" s="12">
        <f t="shared" si="57"/>
        <v>0</v>
      </c>
      <c r="AL187" s="1" t="s">
        <v>101</v>
      </c>
      <c r="AM187" s="1" t="s">
        <v>101</v>
      </c>
      <c r="AN187" s="29" t="s">
        <v>98</v>
      </c>
      <c r="AW187" s="12">
        <f t="shared" si="48"/>
        <v>0.11319000000000001</v>
      </c>
      <c r="AX187" s="12"/>
      <c r="AY187" s="12"/>
      <c r="AZ187" s="12">
        <f t="shared" si="49"/>
        <v>0.11319000000000001</v>
      </c>
      <c r="BA187" s="12">
        <v>0.11319000000000001</v>
      </c>
      <c r="BB187" s="7"/>
      <c r="BC187" s="12"/>
      <c r="BD187" s="12">
        <f t="shared" si="50"/>
        <v>0.11319000000000001</v>
      </c>
      <c r="BE187" s="12"/>
      <c r="BF187" s="7"/>
      <c r="BG187" s="12"/>
      <c r="BH187" s="12">
        <f t="shared" si="51"/>
        <v>0</v>
      </c>
      <c r="BI187" s="7"/>
    </row>
    <row r="188" spans="1:61">
      <c r="A188" t="s">
        <v>367</v>
      </c>
      <c r="B188" t="s">
        <v>368</v>
      </c>
      <c r="C188" t="s">
        <v>369</v>
      </c>
      <c r="G188" s="31">
        <v>44006</v>
      </c>
      <c r="H188" s="31">
        <v>44005</v>
      </c>
      <c r="I188" s="31">
        <v>44012</v>
      </c>
      <c r="J188" s="12">
        <f t="shared" si="53"/>
        <v>0.13424</v>
      </c>
      <c r="M188" s="12">
        <f t="shared" si="54"/>
        <v>0.13424</v>
      </c>
      <c r="N188" s="12">
        <v>0.13424</v>
      </c>
      <c r="Q188" s="12">
        <f t="shared" si="55"/>
        <v>0.13424</v>
      </c>
      <c r="R188" s="12">
        <f>N188*0.2917</f>
        <v>3.9157808000000002E-2</v>
      </c>
      <c r="U188" s="12">
        <f t="shared" si="56"/>
        <v>3.9157808000000002E-2</v>
      </c>
      <c r="AE188" s="30"/>
      <c r="AJ188" s="12">
        <f t="shared" si="57"/>
        <v>0</v>
      </c>
      <c r="AL188" s="1" t="s">
        <v>101</v>
      </c>
      <c r="AM188" s="1" t="s">
        <v>101</v>
      </c>
      <c r="AN188" s="29" t="s">
        <v>98</v>
      </c>
      <c r="AW188" s="12">
        <f t="shared" si="48"/>
        <v>0.13424</v>
      </c>
      <c r="AX188" s="12"/>
      <c r="AY188" s="12"/>
      <c r="AZ188" s="12">
        <f t="shared" si="49"/>
        <v>0.13424</v>
      </c>
      <c r="BA188" s="12">
        <v>0.13424</v>
      </c>
      <c r="BB188" s="7"/>
      <c r="BC188" s="12"/>
      <c r="BD188" s="12">
        <f t="shared" si="50"/>
        <v>0.13424</v>
      </c>
      <c r="BE188" s="12"/>
      <c r="BF188" s="7"/>
      <c r="BG188" s="12"/>
      <c r="BH188" s="12">
        <f t="shared" si="51"/>
        <v>0</v>
      </c>
      <c r="BI188" s="7"/>
    </row>
    <row r="189" spans="1:61">
      <c r="A189" t="s">
        <v>367</v>
      </c>
      <c r="B189" t="s">
        <v>368</v>
      </c>
      <c r="C189" t="s">
        <v>369</v>
      </c>
      <c r="G189" s="31">
        <v>44188</v>
      </c>
      <c r="H189" s="31">
        <v>44187</v>
      </c>
      <c r="I189" s="31">
        <v>44195</v>
      </c>
      <c r="J189" s="12">
        <f t="shared" si="53"/>
        <v>0.15801999999999999</v>
      </c>
      <c r="M189" s="12">
        <f t="shared" si="54"/>
        <v>0.15801999999999999</v>
      </c>
      <c r="N189" s="12">
        <v>0.15801999999999999</v>
      </c>
      <c r="Q189" s="12">
        <f t="shared" si="55"/>
        <v>0.15801999999999999</v>
      </c>
      <c r="R189" s="12">
        <f>N189*0.2917</f>
        <v>4.6094434000000004E-2</v>
      </c>
      <c r="U189" s="12">
        <f t="shared" si="56"/>
        <v>4.6094434000000004E-2</v>
      </c>
      <c r="AE189" s="30"/>
      <c r="AJ189" s="12">
        <f t="shared" si="57"/>
        <v>0</v>
      </c>
      <c r="AL189" s="1" t="s">
        <v>101</v>
      </c>
      <c r="AM189" s="1" t="s">
        <v>101</v>
      </c>
      <c r="AN189" s="29" t="s">
        <v>98</v>
      </c>
      <c r="AW189" s="12">
        <f t="shared" si="48"/>
        <v>0.15801999999999999</v>
      </c>
      <c r="AX189" s="12"/>
      <c r="AY189" s="12"/>
      <c r="AZ189" s="12">
        <f t="shared" si="49"/>
        <v>0.15801999999999999</v>
      </c>
      <c r="BA189" s="12">
        <v>0.15801999999999999</v>
      </c>
      <c r="BB189" s="7"/>
      <c r="BC189" s="12"/>
      <c r="BD189" s="12">
        <f t="shared" si="50"/>
        <v>0.15801999999999999</v>
      </c>
      <c r="BE189" s="12"/>
      <c r="BF189" s="7"/>
      <c r="BG189" s="12"/>
      <c r="BH189" s="12">
        <f t="shared" si="51"/>
        <v>0</v>
      </c>
      <c r="BI189" s="7"/>
    </row>
    <row r="190" spans="1:61">
      <c r="A190" t="s">
        <v>370</v>
      </c>
      <c r="B190" t="s">
        <v>371</v>
      </c>
      <c r="C190" t="s">
        <v>372</v>
      </c>
      <c r="G190" s="31">
        <v>44006</v>
      </c>
      <c r="H190" s="31">
        <v>44005</v>
      </c>
      <c r="I190" s="31">
        <v>44012</v>
      </c>
      <c r="J190" s="12">
        <f t="shared" si="53"/>
        <v>0.32812000000000002</v>
      </c>
      <c r="M190" s="12">
        <f t="shared" si="54"/>
        <v>0.32812000000000002</v>
      </c>
      <c r="N190" s="12">
        <v>0.32812000000000002</v>
      </c>
      <c r="Q190" s="12">
        <f t="shared" si="55"/>
        <v>0.32812000000000002</v>
      </c>
      <c r="R190" s="12">
        <f t="shared" ref="R190:R195" si="58">N190*1</f>
        <v>0.32812000000000002</v>
      </c>
      <c r="U190" s="12">
        <f t="shared" si="56"/>
        <v>0.32812000000000002</v>
      </c>
      <c r="AE190" s="30"/>
      <c r="AJ190" s="12">
        <f t="shared" si="57"/>
        <v>0</v>
      </c>
      <c r="AL190" s="1" t="s">
        <v>101</v>
      </c>
      <c r="AM190" s="1" t="s">
        <v>101</v>
      </c>
      <c r="AN190" s="29" t="s">
        <v>98</v>
      </c>
      <c r="AW190" s="12">
        <f t="shared" si="48"/>
        <v>0.32812000000000002</v>
      </c>
      <c r="AX190" s="12"/>
      <c r="AY190" s="12"/>
      <c r="AZ190" s="12">
        <f t="shared" si="49"/>
        <v>0.32812000000000002</v>
      </c>
      <c r="BA190" s="12">
        <v>0.32812000000000002</v>
      </c>
      <c r="BB190" s="7"/>
      <c r="BC190" s="12"/>
      <c r="BD190" s="12">
        <f t="shared" si="50"/>
        <v>0.32812000000000002</v>
      </c>
      <c r="BE190" s="12"/>
      <c r="BF190" s="7"/>
      <c r="BG190" s="12"/>
      <c r="BH190" s="12">
        <f t="shared" si="51"/>
        <v>0</v>
      </c>
      <c r="BI190" s="7"/>
    </row>
    <row r="191" spans="1:61">
      <c r="A191" t="s">
        <v>370</v>
      </c>
      <c r="B191" t="s">
        <v>371</v>
      </c>
      <c r="C191" t="s">
        <v>372</v>
      </c>
      <c r="G191" s="31">
        <v>44188</v>
      </c>
      <c r="H191" s="31">
        <v>44187</v>
      </c>
      <c r="I191" s="31">
        <v>44195</v>
      </c>
      <c r="J191" s="12">
        <f t="shared" si="53"/>
        <v>0.27338999999999997</v>
      </c>
      <c r="M191" s="12">
        <f t="shared" si="54"/>
        <v>0.27338999999999997</v>
      </c>
      <c r="N191" s="12">
        <v>0.27338999999999997</v>
      </c>
      <c r="Q191" s="12">
        <f t="shared" si="55"/>
        <v>0.27338999999999997</v>
      </c>
      <c r="R191" s="12">
        <f t="shared" si="58"/>
        <v>0.27338999999999997</v>
      </c>
      <c r="U191" s="12">
        <f t="shared" si="56"/>
        <v>0.27338999999999997</v>
      </c>
      <c r="AE191" s="30"/>
      <c r="AJ191" s="12">
        <f t="shared" si="57"/>
        <v>0</v>
      </c>
      <c r="AL191" s="1" t="s">
        <v>101</v>
      </c>
      <c r="AM191" s="1" t="s">
        <v>101</v>
      </c>
      <c r="AN191" s="29" t="s">
        <v>98</v>
      </c>
      <c r="AW191" s="12">
        <f t="shared" si="48"/>
        <v>0.27338999999999997</v>
      </c>
      <c r="AX191" s="12"/>
      <c r="AY191" s="12"/>
      <c r="AZ191" s="12">
        <f t="shared" si="49"/>
        <v>0.27338999999999997</v>
      </c>
      <c r="BA191" s="12">
        <v>0.27338999999999997</v>
      </c>
      <c r="BB191" s="7"/>
      <c r="BC191" s="12"/>
      <c r="BD191" s="12">
        <f t="shared" si="50"/>
        <v>0.27338999999999997</v>
      </c>
      <c r="BE191" s="12"/>
      <c r="BF191" s="7"/>
      <c r="BG191" s="12"/>
      <c r="BH191" s="12">
        <f t="shared" si="51"/>
        <v>0</v>
      </c>
      <c r="BI191" s="7"/>
    </row>
    <row r="192" spans="1:61">
      <c r="A192" t="s">
        <v>373</v>
      </c>
      <c r="B192" t="s">
        <v>374</v>
      </c>
      <c r="C192" t="s">
        <v>375</v>
      </c>
      <c r="G192" s="31">
        <v>43915</v>
      </c>
      <c r="H192" s="31">
        <v>43914</v>
      </c>
      <c r="I192" s="31">
        <v>43921</v>
      </c>
      <c r="J192" s="12">
        <f t="shared" si="53"/>
        <v>0.16126000000000001</v>
      </c>
      <c r="M192" s="12">
        <f t="shared" si="54"/>
        <v>0.16126000000000001</v>
      </c>
      <c r="N192" s="12">
        <v>0.16126000000000001</v>
      </c>
      <c r="Q192" s="12">
        <f t="shared" si="55"/>
        <v>0.16126000000000001</v>
      </c>
      <c r="R192" s="12">
        <f t="shared" si="58"/>
        <v>0.16126000000000001</v>
      </c>
      <c r="U192" s="12">
        <f t="shared" si="56"/>
        <v>0.16126000000000001</v>
      </c>
      <c r="AE192" s="30"/>
      <c r="AJ192" s="12">
        <f t="shared" si="57"/>
        <v>0</v>
      </c>
      <c r="AL192" s="1" t="s">
        <v>101</v>
      </c>
      <c r="AM192" s="1" t="s">
        <v>101</v>
      </c>
      <c r="AN192" s="29" t="s">
        <v>98</v>
      </c>
      <c r="AW192" s="12">
        <f t="shared" si="48"/>
        <v>0.16126000000000001</v>
      </c>
      <c r="AX192" s="12"/>
      <c r="AY192" s="12"/>
      <c r="AZ192" s="12">
        <f t="shared" si="49"/>
        <v>0.16126000000000001</v>
      </c>
      <c r="BA192" s="12">
        <v>0.16126000000000001</v>
      </c>
      <c r="BB192" s="7"/>
      <c r="BC192" s="12"/>
      <c r="BD192" s="12">
        <f t="shared" si="50"/>
        <v>0.16126000000000001</v>
      </c>
      <c r="BE192" s="12"/>
      <c r="BF192" s="7"/>
      <c r="BG192" s="12"/>
      <c r="BH192" s="12">
        <f t="shared" si="51"/>
        <v>0</v>
      </c>
      <c r="BI192" s="7"/>
    </row>
    <row r="193" spans="1:61">
      <c r="A193" t="s">
        <v>373</v>
      </c>
      <c r="B193" t="s">
        <v>374</v>
      </c>
      <c r="C193" t="s">
        <v>375</v>
      </c>
      <c r="G193" s="31">
        <v>44006</v>
      </c>
      <c r="H193" s="31">
        <v>44005</v>
      </c>
      <c r="I193" s="31">
        <v>44012</v>
      </c>
      <c r="J193" s="12">
        <f t="shared" si="53"/>
        <v>0.20091000000000003</v>
      </c>
      <c r="M193" s="12">
        <f t="shared" si="54"/>
        <v>0.20091000000000003</v>
      </c>
      <c r="N193" s="12">
        <v>0.20091000000000003</v>
      </c>
      <c r="Q193" s="12">
        <f t="shared" si="55"/>
        <v>0.20091000000000003</v>
      </c>
      <c r="R193" s="12">
        <f t="shared" si="58"/>
        <v>0.20091000000000003</v>
      </c>
      <c r="U193" s="12">
        <f t="shared" si="56"/>
        <v>0.20091000000000003</v>
      </c>
      <c r="AE193" s="30"/>
      <c r="AJ193" s="12">
        <f t="shared" si="57"/>
        <v>0</v>
      </c>
      <c r="AL193" s="1" t="s">
        <v>101</v>
      </c>
      <c r="AM193" s="1" t="s">
        <v>101</v>
      </c>
      <c r="AN193" s="29" t="s">
        <v>98</v>
      </c>
      <c r="AW193" s="12">
        <f t="shared" si="48"/>
        <v>0.20091000000000003</v>
      </c>
      <c r="AX193" s="12"/>
      <c r="AY193" s="12"/>
      <c r="AZ193" s="12">
        <f t="shared" si="49"/>
        <v>0.20091000000000003</v>
      </c>
      <c r="BA193" s="12">
        <v>0.20091000000000003</v>
      </c>
      <c r="BB193" s="7"/>
      <c r="BC193" s="12"/>
      <c r="BD193" s="12">
        <f t="shared" si="50"/>
        <v>0.20091000000000003</v>
      </c>
      <c r="BE193" s="12"/>
      <c r="BF193" s="7"/>
      <c r="BG193" s="12"/>
      <c r="BH193" s="12">
        <f t="shared" si="51"/>
        <v>0</v>
      </c>
      <c r="BI193" s="7"/>
    </row>
    <row r="194" spans="1:61">
      <c r="A194" t="s">
        <v>373</v>
      </c>
      <c r="B194" t="s">
        <v>374</v>
      </c>
      <c r="C194" t="s">
        <v>375</v>
      </c>
      <c r="G194" s="31">
        <v>44097</v>
      </c>
      <c r="H194" s="31">
        <v>44096</v>
      </c>
      <c r="I194" s="31">
        <v>44103</v>
      </c>
      <c r="J194" s="12">
        <f t="shared" si="53"/>
        <v>0.17152000000000001</v>
      </c>
      <c r="M194" s="12">
        <f t="shared" si="54"/>
        <v>0.17152000000000001</v>
      </c>
      <c r="N194" s="12">
        <v>0.17152000000000001</v>
      </c>
      <c r="Q194" s="12">
        <f t="shared" si="55"/>
        <v>0.17152000000000001</v>
      </c>
      <c r="R194" s="12">
        <f t="shared" si="58"/>
        <v>0.17152000000000001</v>
      </c>
      <c r="U194" s="12">
        <f t="shared" si="56"/>
        <v>0.17152000000000001</v>
      </c>
      <c r="AE194" s="30"/>
      <c r="AJ194" s="12">
        <f t="shared" si="57"/>
        <v>0</v>
      </c>
      <c r="AL194" s="1" t="s">
        <v>101</v>
      </c>
      <c r="AM194" s="1" t="s">
        <v>101</v>
      </c>
      <c r="AN194" s="29" t="s">
        <v>98</v>
      </c>
      <c r="AW194" s="12">
        <f t="shared" si="48"/>
        <v>0.17152000000000001</v>
      </c>
      <c r="AX194" s="12"/>
      <c r="AY194" s="12"/>
      <c r="AZ194" s="12">
        <f t="shared" si="49"/>
        <v>0.17152000000000001</v>
      </c>
      <c r="BA194" s="12">
        <v>0.17152000000000001</v>
      </c>
      <c r="BB194" s="7"/>
      <c r="BC194" s="12"/>
      <c r="BD194" s="12">
        <f t="shared" si="50"/>
        <v>0.17152000000000001</v>
      </c>
      <c r="BE194" s="12"/>
      <c r="BF194" s="7"/>
      <c r="BG194" s="12"/>
      <c r="BH194" s="12">
        <f t="shared" si="51"/>
        <v>0</v>
      </c>
      <c r="BI194" s="7"/>
    </row>
    <row r="195" spans="1:61">
      <c r="A195" t="s">
        <v>373</v>
      </c>
      <c r="B195" t="s">
        <v>374</v>
      </c>
      <c r="C195" t="s">
        <v>375</v>
      </c>
      <c r="G195" s="31">
        <v>44188</v>
      </c>
      <c r="H195" s="31">
        <v>44187</v>
      </c>
      <c r="I195" s="31">
        <v>44195</v>
      </c>
      <c r="J195" s="12">
        <f t="shared" si="53"/>
        <v>0.21172999999999997</v>
      </c>
      <c r="M195" s="12">
        <f t="shared" si="54"/>
        <v>0.21172999999999997</v>
      </c>
      <c r="N195" s="12">
        <v>0.21172999999999997</v>
      </c>
      <c r="Q195" s="12">
        <f t="shared" si="55"/>
        <v>0.21172999999999997</v>
      </c>
      <c r="R195" s="12">
        <f t="shared" si="58"/>
        <v>0.21172999999999997</v>
      </c>
      <c r="U195" s="12">
        <f t="shared" si="56"/>
        <v>0.21172999999999997</v>
      </c>
      <c r="AE195" s="30"/>
      <c r="AJ195" s="12">
        <f t="shared" si="57"/>
        <v>0</v>
      </c>
      <c r="AL195" s="1" t="s">
        <v>101</v>
      </c>
      <c r="AM195" s="1" t="s">
        <v>101</v>
      </c>
      <c r="AN195" s="29" t="s">
        <v>98</v>
      </c>
      <c r="AW195" s="12">
        <f t="shared" si="48"/>
        <v>0.21172999999999997</v>
      </c>
      <c r="AX195" s="12"/>
      <c r="AY195" s="12"/>
      <c r="AZ195" s="12">
        <f t="shared" si="49"/>
        <v>0.21172999999999997</v>
      </c>
      <c r="BA195" s="12">
        <v>0.21172999999999997</v>
      </c>
      <c r="BB195" s="7"/>
      <c r="BC195" s="12"/>
      <c r="BD195" s="12">
        <f t="shared" si="50"/>
        <v>0.21172999999999997</v>
      </c>
      <c r="BE195" s="12"/>
      <c r="BF195" s="7"/>
      <c r="BG195" s="12"/>
      <c r="BH195" s="12">
        <f t="shared" si="51"/>
        <v>0</v>
      </c>
      <c r="BI195" s="7"/>
    </row>
    <row r="196" spans="1:61">
      <c r="A196" t="s">
        <v>376</v>
      </c>
      <c r="B196" t="s">
        <v>377</v>
      </c>
      <c r="C196" t="s">
        <v>378</v>
      </c>
      <c r="G196" s="31">
        <v>44097</v>
      </c>
      <c r="H196" s="31">
        <v>44096</v>
      </c>
      <c r="I196" s="31">
        <v>44103</v>
      </c>
      <c r="J196" s="12">
        <f t="shared" si="53"/>
        <v>3.1719999999999998E-2</v>
      </c>
      <c r="M196" s="12">
        <f t="shared" si="54"/>
        <v>3.1719999999999998E-2</v>
      </c>
      <c r="N196" s="12">
        <v>3.1719999999999998E-2</v>
      </c>
      <c r="Q196" s="12">
        <f t="shared" si="55"/>
        <v>3.1719999999999998E-2</v>
      </c>
      <c r="R196" s="12">
        <f>N196*0.2424</f>
        <v>7.6889279999999994E-3</v>
      </c>
      <c r="U196" s="12">
        <f t="shared" si="56"/>
        <v>7.6889279999999994E-3</v>
      </c>
      <c r="AE196" s="30"/>
      <c r="AJ196" s="12">
        <f t="shared" si="57"/>
        <v>0</v>
      </c>
      <c r="AL196" s="1" t="s">
        <v>101</v>
      </c>
      <c r="AM196" s="1" t="s">
        <v>101</v>
      </c>
      <c r="AN196" s="29" t="s">
        <v>98</v>
      </c>
      <c r="AW196" s="12">
        <f t="shared" si="48"/>
        <v>3.1719999999999998E-2</v>
      </c>
      <c r="AX196" s="12"/>
      <c r="AY196" s="12"/>
      <c r="AZ196" s="12">
        <f t="shared" si="49"/>
        <v>3.1719999999999998E-2</v>
      </c>
      <c r="BA196" s="12">
        <v>3.1719999999999998E-2</v>
      </c>
      <c r="BB196" s="7"/>
      <c r="BC196" s="12"/>
      <c r="BD196" s="12">
        <f t="shared" si="50"/>
        <v>3.1719999999999998E-2</v>
      </c>
      <c r="BE196" s="12"/>
      <c r="BF196" s="7"/>
      <c r="BG196" s="12"/>
      <c r="BH196" s="12">
        <f t="shared" si="51"/>
        <v>0</v>
      </c>
      <c r="BI196" s="7"/>
    </row>
    <row r="197" spans="1:61">
      <c r="A197" t="s">
        <v>376</v>
      </c>
      <c r="B197" t="s">
        <v>377</v>
      </c>
      <c r="C197" t="s">
        <v>378</v>
      </c>
      <c r="G197" s="31">
        <v>44176</v>
      </c>
      <c r="H197" s="31">
        <v>44175</v>
      </c>
      <c r="I197" s="31">
        <v>44182</v>
      </c>
      <c r="J197" s="12">
        <f t="shared" si="53"/>
        <v>0.41560000000000002</v>
      </c>
      <c r="M197" s="12">
        <f t="shared" si="54"/>
        <v>0.41560000000000002</v>
      </c>
      <c r="O197" s="7">
        <v>0.41560000000000002</v>
      </c>
      <c r="Q197" s="12">
        <f t="shared" si="55"/>
        <v>0.41560000000000002</v>
      </c>
      <c r="S197" s="12">
        <f>O197*0.2424</f>
        <v>0.10074144</v>
      </c>
      <c r="U197" s="12">
        <f t="shared" si="56"/>
        <v>0.10074144</v>
      </c>
      <c r="AE197" s="30"/>
      <c r="AJ197" s="12">
        <f t="shared" si="57"/>
        <v>0</v>
      </c>
      <c r="AL197" s="1" t="s">
        <v>101</v>
      </c>
      <c r="AM197" s="1" t="s">
        <v>101</v>
      </c>
      <c r="AN197" s="29" t="s">
        <v>98</v>
      </c>
      <c r="AW197" s="12">
        <f t="shared" si="48"/>
        <v>0.41560000000000002</v>
      </c>
      <c r="AX197" s="12"/>
      <c r="AY197" s="12"/>
      <c r="AZ197" s="12">
        <f t="shared" si="49"/>
        <v>0.41560000000000002</v>
      </c>
      <c r="BA197" s="12"/>
      <c r="BB197" s="7">
        <v>0.41560000000000002</v>
      </c>
      <c r="BC197" s="12"/>
      <c r="BD197" s="12">
        <f t="shared" si="50"/>
        <v>0.41560000000000002</v>
      </c>
      <c r="BE197" s="12"/>
      <c r="BF197" s="7"/>
      <c r="BG197" s="12"/>
      <c r="BH197" s="12">
        <f t="shared" si="51"/>
        <v>0</v>
      </c>
      <c r="BI197" s="7"/>
    </row>
    <row r="198" spans="1:61">
      <c r="A198" t="s">
        <v>376</v>
      </c>
      <c r="B198" t="s">
        <v>377</v>
      </c>
      <c r="C198" t="s">
        <v>378</v>
      </c>
      <c r="G198" s="31">
        <v>44188</v>
      </c>
      <c r="H198" s="31">
        <v>44187</v>
      </c>
      <c r="I198" s="31">
        <v>44195</v>
      </c>
      <c r="J198" s="12">
        <f t="shared" si="53"/>
        <v>0.13669999999999999</v>
      </c>
      <c r="M198" s="12">
        <f t="shared" si="54"/>
        <v>0.13669999999999999</v>
      </c>
      <c r="N198" s="12">
        <v>0.13669999999999999</v>
      </c>
      <c r="Q198" s="12">
        <f t="shared" si="55"/>
        <v>0.13669999999999999</v>
      </c>
      <c r="R198" s="12">
        <f>N198*0.2424</f>
        <v>3.3136079999999998E-2</v>
      </c>
      <c r="U198" s="12">
        <f t="shared" si="56"/>
        <v>3.3136079999999998E-2</v>
      </c>
      <c r="AE198" s="30"/>
      <c r="AJ198" s="12">
        <f t="shared" si="57"/>
        <v>0</v>
      </c>
      <c r="AL198" s="1" t="s">
        <v>101</v>
      </c>
      <c r="AM198" s="1" t="s">
        <v>101</v>
      </c>
      <c r="AN198" s="29" t="s">
        <v>98</v>
      </c>
      <c r="AW198" s="12">
        <f t="shared" ref="AW198" si="59">AX198+AY198+AZ198</f>
        <v>0.13669999999999999</v>
      </c>
      <c r="AX198" s="12"/>
      <c r="AY198" s="12"/>
      <c r="AZ198" s="12">
        <f t="shared" ref="AZ198" si="60">BA198+BB198+BI198+BM198+BO198+BQ198</f>
        <v>0.13669999999999999</v>
      </c>
      <c r="BA198" s="12">
        <v>0.13669999999999999</v>
      </c>
      <c r="BB198" s="7"/>
      <c r="BC198" s="12"/>
      <c r="BD198" s="12">
        <f t="shared" ref="BD198" si="61">BA198+BB198+BC198</f>
        <v>0.13669999999999999</v>
      </c>
      <c r="BE198" s="12"/>
      <c r="BF198" s="7"/>
      <c r="BG198" s="12"/>
      <c r="BH198" s="12">
        <f t="shared" ref="BH198" si="62">BE198+BF198+BG198</f>
        <v>0</v>
      </c>
      <c r="BI198" s="7"/>
    </row>
    <row r="199" spans="1:61">
      <c r="AN199" s="29"/>
      <c r="AW199" s="12"/>
      <c r="AX199" s="12"/>
      <c r="AY199" s="12"/>
      <c r="AZ199" s="12"/>
      <c r="BA199" s="12"/>
      <c r="BB199" s="7"/>
      <c r="BC199" s="12"/>
      <c r="BD199" s="12"/>
      <c r="BE199" s="12"/>
      <c r="BF199" s="7"/>
      <c r="BG199" s="12"/>
      <c r="BH199" s="12"/>
      <c r="BI199" s="7"/>
    </row>
    <row r="200" spans="1:61">
      <c r="AN200" s="29"/>
      <c r="AW200" s="12"/>
      <c r="AX200" s="12"/>
      <c r="AY200" s="12"/>
      <c r="AZ200" s="12"/>
      <c r="BA200" s="12"/>
      <c r="BB200" s="7"/>
      <c r="BC200" s="12"/>
      <c r="BD200" s="12"/>
      <c r="BE200" s="12"/>
      <c r="BF200" s="7"/>
      <c r="BG200" s="12"/>
      <c r="BH200" s="12"/>
      <c r="BI200" s="7"/>
    </row>
    <row r="201" spans="1:61">
      <c r="AN201" s="29"/>
      <c r="AW201" s="12"/>
      <c r="AX201" s="12"/>
      <c r="AY201" s="12"/>
      <c r="AZ201" s="12"/>
      <c r="BA201" s="12"/>
      <c r="BB201" s="7"/>
      <c r="BC201" s="12"/>
      <c r="BD201" s="12"/>
      <c r="BE201" s="12"/>
      <c r="BF201" s="7"/>
      <c r="BG201" s="12"/>
      <c r="BH201" s="12"/>
      <c r="BI201" s="7"/>
    </row>
    <row r="202" spans="1:61">
      <c r="AN202" s="29"/>
      <c r="AW202" s="12"/>
      <c r="AX202" s="12"/>
      <c r="AY202" s="12"/>
      <c r="AZ202" s="12"/>
      <c r="BA202" s="12"/>
      <c r="BB202" s="7"/>
      <c r="BC202" s="12"/>
      <c r="BD202" s="12"/>
      <c r="BE202" s="12"/>
      <c r="BF202" s="7"/>
      <c r="BG202" s="12"/>
      <c r="BH202" s="12"/>
      <c r="BI202" s="7"/>
    </row>
    <row r="203" spans="1:61">
      <c r="AN203" s="29"/>
      <c r="AW203" s="12"/>
      <c r="AX203" s="12"/>
      <c r="AY203" s="12"/>
      <c r="AZ203" s="12"/>
      <c r="BA203" s="12"/>
      <c r="BB203" s="7"/>
      <c r="BC203" s="12"/>
      <c r="BD203" s="12"/>
      <c r="BE203" s="12"/>
      <c r="BF203" s="7"/>
      <c r="BG203" s="12"/>
      <c r="BH203" s="12"/>
      <c r="BI203" s="7"/>
    </row>
    <row r="204" spans="1:61">
      <c r="AN204" s="29"/>
      <c r="AW204" s="12"/>
      <c r="AX204" s="12"/>
      <c r="AY204" s="12"/>
      <c r="AZ204" s="12"/>
      <c r="BA204" s="12"/>
      <c r="BB204" s="7"/>
      <c r="BC204" s="12"/>
      <c r="BD204" s="12"/>
      <c r="BE204" s="12"/>
      <c r="BF204" s="7"/>
      <c r="BG204" s="12"/>
      <c r="BH204" s="12"/>
      <c r="BI204" s="7"/>
    </row>
    <row r="205" spans="1:61">
      <c r="AN205" s="29"/>
      <c r="AW205" s="12"/>
      <c r="AX205" s="12"/>
      <c r="AY205" s="12"/>
      <c r="AZ205" s="12"/>
      <c r="BA205" s="12"/>
      <c r="BB205" s="7"/>
      <c r="BC205" s="12"/>
      <c r="BD205" s="12"/>
      <c r="BE205" s="12"/>
      <c r="BF205" s="7"/>
      <c r="BG205" s="12"/>
      <c r="BH205" s="12"/>
      <c r="BI205" s="7"/>
    </row>
    <row r="206" spans="1:61">
      <c r="AN206" s="29"/>
      <c r="AW206" s="12"/>
      <c r="AX206" s="12"/>
      <c r="AY206" s="12"/>
      <c r="AZ206" s="12"/>
      <c r="BA206" s="12"/>
      <c r="BB206" s="7"/>
      <c r="BC206" s="12"/>
      <c r="BD206" s="12"/>
      <c r="BE206" s="12"/>
      <c r="BF206" s="7"/>
      <c r="BG206" s="12"/>
      <c r="BH206" s="12"/>
      <c r="BI206" s="7"/>
    </row>
    <row r="207" spans="1:61">
      <c r="AN207" s="29"/>
      <c r="AW207" s="12"/>
      <c r="AX207" s="12"/>
      <c r="AY207" s="12"/>
      <c r="AZ207" s="12"/>
      <c r="BA207" s="12"/>
      <c r="BB207" s="7"/>
      <c r="BC207" s="12"/>
      <c r="BD207" s="12"/>
      <c r="BE207" s="12"/>
      <c r="BF207" s="7"/>
      <c r="BG207" s="12"/>
      <c r="BH207" s="12"/>
      <c r="BI207" s="7"/>
    </row>
    <row r="208" spans="1:61">
      <c r="AN208" s="29"/>
      <c r="AW208" s="12"/>
      <c r="AX208" s="12"/>
      <c r="AY208" s="12"/>
      <c r="AZ208" s="12"/>
      <c r="BA208" s="12"/>
      <c r="BB208" s="7"/>
      <c r="BC208" s="12"/>
      <c r="BD208" s="12"/>
      <c r="BE208" s="12"/>
      <c r="BF208" s="7"/>
      <c r="BG208" s="12"/>
      <c r="BH208" s="12"/>
      <c r="BI208" s="7"/>
    </row>
    <row r="209" spans="40:61">
      <c r="AN209" s="29"/>
      <c r="AW209" s="12"/>
      <c r="AX209" s="12"/>
      <c r="AY209" s="12"/>
      <c r="AZ209" s="12"/>
      <c r="BA209" s="12"/>
      <c r="BB209" s="7"/>
      <c r="BC209" s="12"/>
      <c r="BD209" s="12"/>
      <c r="BE209" s="12"/>
      <c r="BF209" s="7"/>
      <c r="BG209" s="12"/>
      <c r="BH209" s="12"/>
      <c r="BI209" s="7"/>
    </row>
    <row r="210" spans="40:61">
      <c r="AN210" s="29"/>
      <c r="AW210" s="12"/>
      <c r="AX210" s="12"/>
      <c r="AY210" s="12"/>
      <c r="AZ210" s="12"/>
      <c r="BA210" s="12"/>
      <c r="BB210" s="7"/>
      <c r="BC210" s="12"/>
      <c r="BD210" s="12"/>
      <c r="BE210" s="12"/>
      <c r="BF210" s="7"/>
      <c r="BG210" s="12"/>
      <c r="BH210" s="12"/>
      <c r="BI210" s="7"/>
    </row>
    <row r="211" spans="40:61">
      <c r="AN211" s="29"/>
      <c r="AW211" s="12"/>
      <c r="AX211" s="12"/>
      <c r="AY211" s="12"/>
      <c r="AZ211" s="12"/>
      <c r="BA211" s="12"/>
      <c r="BB211" s="7"/>
      <c r="BC211" s="12"/>
      <c r="BD211" s="12"/>
      <c r="BE211" s="12"/>
      <c r="BF211" s="7"/>
      <c r="BG211" s="12"/>
      <c r="BH211" s="12"/>
      <c r="BI211" s="7"/>
    </row>
    <row r="212" spans="40:61">
      <c r="AN212" s="29"/>
      <c r="AW212" s="12"/>
      <c r="AX212" s="12"/>
      <c r="AY212" s="12"/>
      <c r="AZ212" s="12"/>
      <c r="BA212" s="12"/>
      <c r="BB212" s="7"/>
      <c r="BC212" s="12"/>
      <c r="BD212" s="12"/>
      <c r="BE212" s="12"/>
      <c r="BF212" s="7"/>
      <c r="BG212" s="12"/>
      <c r="BH212" s="12"/>
      <c r="BI212" s="7"/>
    </row>
    <row r="213" spans="40:61">
      <c r="AN213" s="29"/>
      <c r="AW213" s="12"/>
      <c r="AX213" s="12"/>
      <c r="AY213" s="12"/>
      <c r="AZ213" s="12"/>
      <c r="BA213" s="12"/>
      <c r="BB213" s="7"/>
      <c r="BC213" s="12"/>
      <c r="BD213" s="12"/>
      <c r="BE213" s="12"/>
      <c r="BF213" s="7"/>
      <c r="BG213" s="12"/>
      <c r="BH213" s="12"/>
      <c r="BI213" s="7"/>
    </row>
    <row r="214" spans="40:61">
      <c r="AN214" s="29"/>
      <c r="AW214" s="12"/>
      <c r="AX214" s="12"/>
      <c r="AY214" s="12"/>
      <c r="AZ214" s="12"/>
      <c r="BA214" s="12"/>
      <c r="BB214" s="7"/>
      <c r="BC214" s="12"/>
      <c r="BD214" s="12"/>
      <c r="BE214" s="12"/>
      <c r="BF214" s="7"/>
      <c r="BG214" s="12"/>
      <c r="BH214" s="12"/>
      <c r="BI214" s="7"/>
    </row>
    <row r="215" spans="40:61">
      <c r="AN215" s="29"/>
      <c r="AW215" s="12"/>
      <c r="AX215" s="12"/>
      <c r="AY215" s="12"/>
      <c r="AZ215" s="12"/>
      <c r="BA215" s="12"/>
      <c r="BB215" s="7"/>
      <c r="BC215" s="12"/>
      <c r="BD215" s="12"/>
      <c r="BE215" s="12"/>
      <c r="BF215" s="7"/>
      <c r="BG215" s="12"/>
      <c r="BH215" s="12"/>
      <c r="BI215" s="7"/>
    </row>
    <row r="216" spans="40:61">
      <c r="AN216" s="29"/>
      <c r="AW216" s="12"/>
      <c r="AX216" s="12"/>
      <c r="AY216" s="12"/>
      <c r="AZ216" s="12"/>
      <c r="BA216" s="12"/>
      <c r="BB216" s="7"/>
      <c r="BC216" s="12"/>
      <c r="BD216" s="12"/>
      <c r="BE216" s="12"/>
      <c r="BF216" s="7"/>
      <c r="BG216" s="12"/>
      <c r="BH216" s="12"/>
      <c r="BI216" s="7"/>
    </row>
    <row r="217" spans="40:61">
      <c r="AN217" s="29"/>
      <c r="AW217" s="12"/>
      <c r="AX217" s="12"/>
      <c r="AY217" s="12"/>
      <c r="AZ217" s="12"/>
      <c r="BA217" s="12"/>
      <c r="BB217" s="7"/>
      <c r="BC217" s="12"/>
      <c r="BD217" s="12"/>
      <c r="BE217" s="12"/>
      <c r="BF217" s="7"/>
      <c r="BG217" s="12"/>
      <c r="BH217" s="12"/>
      <c r="BI217" s="7"/>
    </row>
    <row r="218" spans="40:61">
      <c r="AN218" s="29"/>
      <c r="AW218" s="12"/>
      <c r="AX218" s="12"/>
      <c r="AY218" s="12"/>
      <c r="AZ218" s="12"/>
      <c r="BA218" s="12"/>
      <c r="BB218" s="7"/>
      <c r="BC218" s="12"/>
      <c r="BD218" s="12"/>
      <c r="BE218" s="12"/>
      <c r="BF218" s="7"/>
      <c r="BG218" s="12"/>
      <c r="BH218" s="12"/>
      <c r="BI218" s="7"/>
    </row>
    <row r="219" spans="40:61">
      <c r="AN219" s="29"/>
      <c r="AW219" s="12"/>
      <c r="AX219" s="12"/>
      <c r="AY219" s="12"/>
      <c r="AZ219" s="12"/>
      <c r="BA219" s="12"/>
      <c r="BB219" s="7"/>
      <c r="BC219" s="12"/>
      <c r="BD219" s="12"/>
      <c r="BE219" s="12"/>
      <c r="BF219" s="7"/>
      <c r="BG219" s="12"/>
      <c r="BH219" s="12"/>
      <c r="BI219" s="7"/>
    </row>
    <row r="220" spans="40:61">
      <c r="AN220" s="29"/>
      <c r="AW220" s="12"/>
      <c r="AX220" s="12"/>
      <c r="AY220" s="12"/>
      <c r="AZ220" s="12"/>
      <c r="BA220" s="12"/>
      <c r="BB220" s="7"/>
      <c r="BC220" s="12"/>
      <c r="BD220" s="12"/>
      <c r="BE220" s="12"/>
      <c r="BF220" s="7"/>
      <c r="BG220" s="12"/>
      <c r="BH220" s="12"/>
      <c r="BI220" s="7"/>
    </row>
    <row r="221" spans="40:61">
      <c r="AN221" s="29"/>
      <c r="AW221" s="12"/>
      <c r="AX221" s="12"/>
      <c r="AY221" s="12"/>
      <c r="AZ221" s="12"/>
      <c r="BA221" s="12"/>
      <c r="BB221" s="7"/>
      <c r="BC221" s="12"/>
      <c r="BD221" s="12"/>
      <c r="BE221" s="12"/>
      <c r="BF221" s="7"/>
      <c r="BG221" s="12"/>
      <c r="BH221" s="12"/>
      <c r="BI221" s="7"/>
    </row>
    <row r="222" spans="40:61">
      <c r="AN222" s="29"/>
      <c r="AW222" s="12"/>
      <c r="AX222" s="12"/>
      <c r="AY222" s="12"/>
      <c r="AZ222" s="12"/>
      <c r="BA222" s="12"/>
      <c r="BB222" s="7"/>
      <c r="BC222" s="12"/>
      <c r="BD222" s="12"/>
      <c r="BE222" s="12"/>
      <c r="BF222" s="7"/>
      <c r="BG222" s="12"/>
      <c r="BH222" s="12"/>
      <c r="BI222" s="7"/>
    </row>
    <row r="223" spans="40:61">
      <c r="AN223" s="29"/>
      <c r="AW223" s="12"/>
      <c r="AX223" s="12"/>
      <c r="AY223" s="12"/>
      <c r="AZ223" s="12"/>
      <c r="BA223" s="12"/>
      <c r="BB223" s="7"/>
      <c r="BC223" s="12"/>
      <c r="BD223" s="12"/>
      <c r="BE223" s="12"/>
      <c r="BF223" s="7"/>
      <c r="BG223" s="12"/>
      <c r="BH223" s="12"/>
      <c r="BI223" s="7"/>
    </row>
    <row r="224" spans="40:61">
      <c r="AN224" s="29"/>
      <c r="AW224" s="12"/>
      <c r="AX224" s="12"/>
      <c r="AY224" s="12"/>
      <c r="AZ224" s="12"/>
      <c r="BA224" s="12"/>
      <c r="BB224" s="7"/>
      <c r="BC224" s="12"/>
      <c r="BD224" s="12"/>
      <c r="BE224" s="12"/>
      <c r="BF224" s="7"/>
      <c r="BG224" s="12"/>
      <c r="BH224" s="12"/>
      <c r="BI224" s="7"/>
    </row>
    <row r="225" spans="40:61">
      <c r="AN225" s="29"/>
      <c r="AW225" s="12"/>
      <c r="AX225" s="12"/>
      <c r="AY225" s="12"/>
      <c r="AZ225" s="12"/>
      <c r="BA225" s="12"/>
      <c r="BB225" s="7"/>
      <c r="BC225" s="12"/>
      <c r="BD225" s="12"/>
      <c r="BE225" s="12"/>
      <c r="BF225" s="7"/>
      <c r="BG225" s="12"/>
      <c r="BH225" s="12"/>
      <c r="BI225" s="7"/>
    </row>
    <row r="226" spans="40:61">
      <c r="AN226" s="29"/>
      <c r="AW226" s="12"/>
      <c r="AX226" s="12"/>
      <c r="AY226" s="12"/>
      <c r="AZ226" s="12"/>
      <c r="BA226" s="12"/>
      <c r="BB226" s="7"/>
      <c r="BC226" s="12"/>
      <c r="BD226" s="12"/>
      <c r="BE226" s="12"/>
      <c r="BF226" s="7"/>
      <c r="BG226" s="12"/>
      <c r="BH226" s="12"/>
      <c r="BI226" s="7"/>
    </row>
    <row r="227" spans="40:61">
      <c r="AN227" s="29"/>
    </row>
    <row r="228" spans="40:61">
      <c r="AN228" s="29"/>
    </row>
    <row r="229" spans="40:61">
      <c r="AN229" s="29"/>
    </row>
    <row r="230" spans="40:61">
      <c r="AN230" s="29"/>
    </row>
    <row r="231" spans="40:61">
      <c r="AN231" s="29"/>
    </row>
    <row r="232" spans="40:61">
      <c r="AN232" s="29"/>
    </row>
    <row r="233" spans="40:61">
      <c r="AN233" s="29"/>
    </row>
  </sheetData>
  <autoFilter ref="A16:BI198"/>
  <mergeCells count="4">
    <mergeCell ref="A6:M8"/>
    <mergeCell ref="A10:J10"/>
    <mergeCell ref="K12:M12"/>
    <mergeCell ref="AX12:AZ12"/>
  </mergeCells>
  <phoneticPr fontId="0" type="noConversion"/>
  <printOptions gridLines="1"/>
  <pageMargins left="0.25" right="0.25" top="1" bottom="1" header="0.5" footer="0.5"/>
  <pageSetup scale="60" orientation="landscape" r:id="rId1"/>
  <headerFooter alignWithMargins="0">
    <oddHeader>&amp;C&amp;"Arial,Bold"PRIMARY LAYOUT
2020 YEAR-END TAX REPORTING INFORMATION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Primary Layout</vt:lpstr>
      <vt:lpstr>'Primary Layout'!Print_Titles</vt:lpstr>
    </vt:vector>
  </TitlesOfParts>
  <Manager/>
  <Company>Investment Company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Barre</dc:creator>
  <cp:keywords/>
  <dc:description/>
  <cp:lastModifiedBy>Stephen Wands</cp:lastModifiedBy>
  <cp:revision/>
  <dcterms:created xsi:type="dcterms:W3CDTF">2005-07-20T15:33:39Z</dcterms:created>
  <dcterms:modified xsi:type="dcterms:W3CDTF">2021-02-09T13:40:44Z</dcterms:modified>
  <cp:category/>
  <cp:contentStatus/>
</cp:coreProperties>
</file>